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ummary" sheetId="1" r:id="rId1"/>
    <sheet name="Jan" sheetId="2" r:id="rId2"/>
    <sheet name="Feb" sheetId="3" r:id="rId3"/>
    <sheet name="Mar" sheetId="4" r:id="rId4"/>
    <sheet name="Apr" sheetId="5" r:id="rId5"/>
    <sheet name="May" sheetId="6" r:id="rId6"/>
    <sheet name="Jun" sheetId="7" r:id="rId7"/>
    <sheet name="Jul" sheetId="8" r:id="rId8"/>
    <sheet name="Aug" sheetId="9" r:id="rId9"/>
    <sheet name="Sep" sheetId="10" r:id="rId10"/>
    <sheet name="Oct" sheetId="11" r:id="rId11"/>
    <sheet name="Nov" sheetId="12" r:id="rId12"/>
    <sheet name="Dec" sheetId="13" r:id="rId13"/>
    <sheet name="Setup" sheetId="14" r:id="rId14"/>
    <sheet name="Holidays" sheetId="15" r:id="rId15"/>
  </sheets>
  <definedNames>
    <definedName name="CalYear">Setup!$B$6</definedName>
    <definedName name="CodeBucket">Setup!$E$9:$E$22</definedName>
    <definedName name="CodeDays">Setup!$D$9:$D$22</definedName>
    <definedName name="Codes">Setup!$B$9:$B$22</definedName>
    <definedName name="_xlnm.Print_Area" localSheetId="4">Apr!$A$1:$AM$33</definedName>
    <definedName name="_xlnm.Print_Area" localSheetId="8">Aug!$A$1:$AM$33</definedName>
    <definedName name="_xlnm.Print_Area" localSheetId="12">Dec!$A$1:$AM$33</definedName>
    <definedName name="_xlnm.Print_Area" localSheetId="2">Feb!$A$1:$AM$33</definedName>
    <definedName name="_xlnm.Print_Area" localSheetId="14">Holidays!$A$1:$D$60</definedName>
    <definedName name="_xlnm.Print_Area" localSheetId="1">Jan!$A$1:$AM$33</definedName>
    <definedName name="_xlnm.Print_Area" localSheetId="7">Jul!$A$1:$AM$33</definedName>
    <definedName name="_xlnm.Print_Area" localSheetId="6">Jun!$A$1:$AM$33</definedName>
    <definedName name="_xlnm.Print_Area" localSheetId="3">Mar!$A$1:$AM$33</definedName>
    <definedName name="_xlnm.Print_Area" localSheetId="5">May!$A$1:$AM$33</definedName>
    <definedName name="_xlnm.Print_Area" localSheetId="11">Nov!$A$1:$AM$33</definedName>
    <definedName name="_xlnm.Print_Area" localSheetId="10">Oct!$A$1:$AM$33</definedName>
    <definedName name="_xlnm.Print_Area" localSheetId="9">Sep!$A$1:$AM$33</definedName>
    <definedName name="_xlnm.Print_Area" localSheetId="13">Setup!$A$1:$G$23</definedName>
    <definedName name="_xlnm.Print_Area" localSheetId="0">Summary!$A$1:$O$32</definedName>
  </definedNames>
  <calcPr calcId="124519" fullCalcOnLoad="1"/>
</workbook>
</file>

<file path=xl/sharedStrings.xml><?xml version="1.0" encoding="utf-8"?>
<sst xmlns="http://schemas.openxmlformats.org/spreadsheetml/2006/main" count="240" uniqueCount="107">
  <si>
    <t>Setup</t>
  </si>
  <si>
    <t>Year and leave codes. Add your own codes in the empty rows.</t>
  </si>
  <si>
    <t>YEAR</t>
  </si>
  <si>
    <t>CODE</t>
  </si>
  <si>
    <t>MEANING</t>
  </si>
  <si>
    <t>DAYS</t>
  </si>
  <si>
    <t>COUNTS AS</t>
  </si>
  <si>
    <t>V</t>
  </si>
  <si>
    <t>Vacation</t>
  </si>
  <si>
    <t>HV</t>
  </si>
  <si>
    <t>Half-day vacation</t>
  </si>
  <si>
    <t>S</t>
  </si>
  <si>
    <t>Sick</t>
  </si>
  <si>
    <t>HS</t>
  </si>
  <si>
    <t>Half-day sick</t>
  </si>
  <si>
    <t>P</t>
  </si>
  <si>
    <t>Personal</t>
  </si>
  <si>
    <t>HP</t>
  </si>
  <si>
    <t>Half-day personal</t>
  </si>
  <si>
    <t>B</t>
  </si>
  <si>
    <t>Bereavement</t>
  </si>
  <si>
    <t>Other</t>
  </si>
  <si>
    <t>J</t>
  </si>
  <si>
    <t>Jury duty</t>
  </si>
  <si>
    <t>U</t>
  </si>
  <si>
    <t>Unpaid leave</t>
  </si>
  <si>
    <t>T</t>
  </si>
  <si>
    <t>Training / conference</t>
  </si>
  <si>
    <t>How it works</t>
  </si>
  <si>
    <t>• Type a code (V, HV, S…) into any day on the calendar grid.</t>
  </si>
  <si>
    <t>• DAYS = how much one entry counts (0.5 for a half day).</t>
  </si>
  <si>
    <t>• COUNTS AS decides which balance it comes out of, and its color.</t>
  </si>
  <si>
    <t>• Weekends and holidays are shaded automatically; edit holidays on the Holidays tab.</t>
  </si>
  <si>
    <t>• Change the year here – every month grid re-flows.</t>
  </si>
  <si>
    <t>Holidays &amp; key dates</t>
  </si>
  <si>
    <t>NAME</t>
  </si>
  <si>
    <t>DATE</t>
  </si>
  <si>
    <t>TYPE</t>
  </si>
  <si>
    <t>New Year's Day</t>
  </si>
  <si>
    <t>Holiday</t>
  </si>
  <si>
    <t>Martin Luther King Jr. Day</t>
  </si>
  <si>
    <t>Presidents' Day</t>
  </si>
  <si>
    <t>Memorial Day</t>
  </si>
  <si>
    <t>Juneteenth</t>
  </si>
  <si>
    <t>Independence Day</t>
  </si>
  <si>
    <t>Labor Day</t>
  </si>
  <si>
    <t>Columbus Day</t>
  </si>
  <si>
    <t>Veterans Day</t>
  </si>
  <si>
    <t>Thanksgiving Day</t>
  </si>
  <si>
    <t>Christmas Day</t>
  </si>
  <si>
    <t>Valentine's Day</t>
  </si>
  <si>
    <t>Observance</t>
  </si>
  <si>
    <t>Daylight Saving begins</t>
  </si>
  <si>
    <t>St. Patrick's Day</t>
  </si>
  <si>
    <t>Easter Sunday</t>
  </si>
  <si>
    <t>Mother's Day</t>
  </si>
  <si>
    <t>Father's Day</t>
  </si>
  <si>
    <t>Halloween</t>
  </si>
  <si>
    <t>Daylight Saving ends</t>
  </si>
  <si>
    <t>Christmas Eve</t>
  </si>
  <si>
    <t>New Year's Eve</t>
  </si>
  <si>
    <t>• Type = Holiday → shaded in the accent color on every calendar.</t>
  </si>
  <si>
    <t>• Any other type (Observance, Personal, Work, School…) → shown in the softer color.</t>
  </si>
  <si>
    <t>• Rows ending in (obs.) – the observed day off – appear only when a holiday falls on a weekend.</t>
  </si>
  <si>
    <t>• Add birthdays, paydays or school breaks in the empty rows – they show up</t>
  </si>
  <si>
    <t xml:space="preserve">   on the month tabs automatically. Delete any row you don't need.</t>
  </si>
  <si>
    <t>• Change the year or week start on the Year tab.</t>
  </si>
  <si>
    <t>Enter people and allowances here. Log days off on the month tabs with codes (V, HV, S…).</t>
  </si>
  <si>
    <t>EMPLOYEE</t>
  </si>
  <si>
    <t>TEAM</t>
  </si>
  <si>
    <t>VACATION
ALLOWANCE</t>
  </si>
  <si>
    <t>CARRY-
OVER</t>
  </si>
  <si>
    <t>VACATION
TAKEN</t>
  </si>
  <si>
    <t>VACATION
LEFT</t>
  </si>
  <si>
    <t>SICK
ALLOWANCE</t>
  </si>
  <si>
    <t>SICK
TAKEN</t>
  </si>
  <si>
    <t>SICK
LEFT</t>
  </si>
  <si>
    <t>PERSONAL
TAKEN</t>
  </si>
  <si>
    <t>OTHER
TAKEN</t>
  </si>
  <si>
    <t>TOTAL
DAYS OFF</t>
  </si>
  <si>
    <t>Alex Rivera</t>
  </si>
  <si>
    <t>Design</t>
  </si>
  <si>
    <t>Jordan Lee</t>
  </si>
  <si>
    <t>Engineering</t>
  </si>
  <si>
    <t>Sam Patel</t>
  </si>
  <si>
    <t>Sales</t>
  </si>
  <si>
    <t>% USED</t>
  </si>
  <si>
    <t>Team total</t>
  </si>
  <si>
    <t>January</t>
  </si>
  <si>
    <t>VAC</t>
  </si>
  <si>
    <t>SICK</t>
  </si>
  <si>
    <t>PERS</t>
  </si>
  <si>
    <t>OTHER</t>
  </si>
  <si>
    <t>TOTAL</t>
  </si>
  <si>
    <t>Out today</t>
  </si>
  <si>
    <t>Blue columns = holidays (Holidays tab)  ·  niftyshelf.com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</si>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</sst>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numFmts count="6">
    <numFmt numFmtId="164" formatCode="0.0#;-0.0#;&quot;–&quot;"/>
    <numFmt numFmtId="165" formatCode="0.0#;[Red]-0.0#;0"/>
    <numFmt numFmtId="166" formatCode="0%"/>
    <numFmt numFmtId="167" formatCode="0.0#;-0.0#;&quot;·&quot;"/>
    <numFmt numFmtId="168" formatCode="0.0#"/>
    <numFmt numFmtId="169" formatCode="ddd, mmm d"/>
  </numFmts>
  <fonts count="37">
    <font>
      <sz val="11"/>
      <color theme="1"/>
      <name val="Calibri"/>
      <family val="2"/>
      <scheme val="minor"/>
    </font>
    <font>
      <b/>
      <sz val="24"/>
      <color rgb="FF111827"/>
      <name val="Arial"/>
      <family val="2"/>
    </font>
    <font>
      <sz val="9"/>
      <color rgb="FF6B7280"/>
      <name val="Arial"/>
      <family val="2"/>
    </font>
    <font>
      <b/>
      <sz val="7.5"/>
      <color rgb="FFFFFFFF"/>
      <name val="Arial"/>
      <family val="2"/>
    </font>
    <font>
      <b/>
      <sz val="10"/>
      <color rgb="FF111827"/>
      <name val="Arial"/>
      <family val="2"/>
    </font>
    <font>
      <sz val="10"/>
      <color rgb="FF6B7280"/>
      <name val="Arial"/>
      <family val="2"/>
    </font>
    <font>
      <sz val="10"/>
      <color rgb="FF111827"/>
      <name val="Arial"/>
      <family val="2"/>
    </font>
    <font>
      <b/>
      <sz val="10"/>
      <color rgb="FF1E40AF"/>
      <name val="Arial"/>
      <family val="2"/>
    </font>
    <font>
      <sz val="8"/>
      <color rgb="FF6B7280"/>
      <name val="Arial"/>
      <family val="2"/>
    </font>
    <font>
      <sz val="10"/>
      <color rgb="FFB91C1C"/>
      <name val="Arial"/>
      <family val="2"/>
    </font>
    <font>
      <sz val="10"/>
      <color rgb="FF6D28D9"/>
      <name val="Arial"/>
      <family val="2"/>
    </font>
    <font>
      <sz val="10"/>
      <color rgb="FF92400E"/>
      <name val="Arial"/>
      <family val="2"/>
    </font>
    <font>
      <sz val="24"/>
      <color rgb="FF2F5BEA"/>
      <name val="Arial"/>
      <family val="2"/>
    </font>
    <font>
      <sz val="7.5"/>
      <color rgb="FF6B7280"/>
      <name val="Arial"/>
      <family val="2"/>
    </font>
    <font>
      <sz val="10"/>
      <color rgb="FFFFFFFF"/>
      <name val="Arial"/>
      <family val="2"/>
    </font>
    <font>
      <sz val="6.5"/>
      <color rgb="FFFFFFFF"/>
      <name val="Arial"/>
      <family val="2"/>
    </font>
    <font>
      <b/>
      <sz val="6.5"/>
      <color rgb="FF1E40AF"/>
      <name val="Arial"/>
      <family val="2"/>
    </font>
    <font>
      <b/>
      <sz val="6.5"/>
      <color rgb="FFB91C1C"/>
      <name val="Arial"/>
      <family val="2"/>
    </font>
    <font>
      <b/>
      <sz val="6.5"/>
      <color rgb="FF6D28D9"/>
      <name val="Arial"/>
      <family val="2"/>
    </font>
    <font>
      <b/>
      <sz val="6.5"/>
      <color rgb="FF92400E"/>
      <name val="Arial"/>
      <family val="2"/>
    </font>
    <font>
      <b/>
      <sz val="6.5"/>
      <color rgb="FFFFFFFF"/>
      <name val="Arial"/>
      <family val="2"/>
    </font>
    <font>
      <b/>
      <sz val="8"/>
      <color rgb="FFFFFFFF"/>
      <name val="Arial"/>
      <family val="2"/>
    </font>
    <font>
      <b/>
      <sz val="9"/>
      <color rgb="FF111827"/>
      <name val="Arial"/>
      <family val="2"/>
    </font>
    <font>
      <sz val="8"/>
      <color rgb="FF111827"/>
      <name val="Arial"/>
      <family val="2"/>
    </font>
    <font>
      <sz val="8"/>
      <color rgb="FF1E40AF"/>
      <name val="Arial"/>
      <family val="2"/>
    </font>
    <font>
      <sz val="8"/>
      <color rgb="FFB91C1C"/>
      <name val="Arial"/>
      <family val="2"/>
    </font>
    <font>
      <sz val="8"/>
      <color rgb="FF6D28D9"/>
      <name val="Arial"/>
      <family val="2"/>
    </font>
    <font>
      <sz val="8"/>
      <color rgb="FF92400E"/>
      <name val="Arial"/>
      <family val="2"/>
    </font>
    <font>
      <b/>
      <sz val="8"/>
      <color rgb="FF111827"/>
      <name val="Arial"/>
      <family val="2"/>
    </font>
    <font>
      <b/>
      <sz val="7.5"/>
      <color rgb="FF6B7280"/>
      <name val="Arial"/>
      <family val="2"/>
    </font>
    <font>
      <b/>
      <sz val="7.5"/>
      <color rgb="FF2F5BEA"/>
      <name val="Arial"/>
      <family val="2"/>
    </font>
    <font>
      <sz val="7"/>
      <color rgb="FFC7CBD1"/>
      <name val="Arial"/>
      <family val="2"/>
    </font>
    <font>
      <b/>
      <sz val="20"/>
      <color rgb="FF111827"/>
      <name val="Arial"/>
      <family val="2"/>
    </font>
    <font>
      <b/>
      <sz val="8"/>
      <color rgb="FF6B7280"/>
      <name val="Arial"/>
      <family val="2"/>
    </font>
    <font>
      <b/>
      <sz val="16"/>
      <color rgb="FF2F5BEA"/>
      <name val="Arial"/>
      <family val="2"/>
    </font>
    <font>
      <sz val="9"/>
      <color rgb="FF6B7280"/>
      <name val="Arial"/>
      <family val="2"/>
    </font>
    <font>
      <b/>
      <sz val="22"/>
      <color rgb="FF111827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111827"/>
        <bgColor indexed="64"/>
      </patternFill>
    </fill>
    <fill>
      <patternFill patternType="solid">
        <fgColor rgb="FFDCE6FD"/>
        <bgColor indexed="64"/>
      </patternFill>
    </fill>
    <fill>
      <patternFill patternType="solid">
        <fgColor rgb="FFFDE2E2"/>
        <bgColor indexed="64"/>
      </patternFill>
    </fill>
    <fill>
      <patternFill patternType="solid">
        <fgColor rgb="FFEDE4FD"/>
        <bgColor indexed="64"/>
      </patternFill>
    </fill>
    <fill>
      <patternFill patternType="solid">
        <fgColor rgb="FFFEF0C7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rgb="FFE5E7EB"/>
      </bottom>
      <diagonal/>
    </border>
    <border>
      <left/>
      <right/>
      <top style="thin">
        <color rgb="FF111827"/>
      </top>
      <bottom/>
      <diagonal/>
    </border>
    <border>
      <left style="thin">
        <color rgb="FFE5E7EB"/>
      </left>
      <right/>
      <top/>
      <bottom style="thin">
        <color rgb="FFE5E7EB"/>
      </bottom>
      <diagonal/>
    </border>
    <border>
      <left/>
      <right/>
      <top/>
      <bottom style="thin">
        <color rgb="FF2F5BEA"/>
      </bottom>
      <diagonal/>
    </border>
    <border>
      <left/>
      <right/>
      <top/>
      <bottom style="thin">
        <color rgb="FF111827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 applyAlignment="1"/>
    <xf numFmtId="0" fontId="2" fillId="0" borderId="0" xfId="0" applyFont="1" applyAlignment="1">
      <alignment vertical="center"/>
    </xf>
    <xf numFmtId="0" fontId="3" fillId="2" borderId="0" xfId="0" applyFont="1" applyFill="1" applyAlignment="1">
      <alignment horizontal="left" vertical="center" indent="1" wrapText="1"/>
    </xf>
    <xf numFmtId="0" fontId="3" fillId="2" borderId="0" xfId="0" applyFont="1" applyFill="1" applyAlignment="1">
      <alignment horizontal="center" vertical="center" wrapText="1"/>
    </xf>
    <xf numFmtId="0" fontId="4" fillId="0" borderId="1" xfId="0" applyFont="1" applyBorder="1" applyAlignment="1">
      <alignment horizontal="left" vertical="center" indent="1"/>
    </xf>
    <xf numFmtId="0" fontId="5" fillId="0" borderId="1" xfId="0" applyFont="1" applyBorder="1" applyAlignment="1">
      <alignment horizontal="left" vertical="center" indent="1"/>
    </xf>
    <xf numFmtId="0" fontId="6" fillId="0" borderId="1" xfId="0" applyFont="1" applyBorder="1" applyAlignment="1">
      <alignment horizontal="center" vertical="center"/>
    </xf>
    <xf numFmtId="164" fontId="7" fillId="0" borderId="1" xfId="0" applyNumberFormat="1" applyFont="1" applyBorder="1" applyAlignment="1">
      <alignment horizontal="center" vertical="center"/>
    </xf>
    <xf numFmtId="165" fontId="4" fillId="0" borderId="1" xfId="0" applyNumberFormat="1" applyFont="1" applyBorder="1" applyAlignment="1">
      <alignment horizontal="center" vertical="center"/>
    </xf>
    <xf numFmtId="166" fontId="8" fillId="0" borderId="1" xfId="0" applyNumberFormat="1" applyFont="1" applyBorder="1" applyAlignment="1">
      <alignment horizontal="center" vertical="center"/>
    </xf>
    <xf numFmtId="164" fontId="9" fillId="0" borderId="1" xfId="0" applyNumberFormat="1" applyFont="1" applyBorder="1" applyAlignment="1">
      <alignment horizontal="center" vertical="center"/>
    </xf>
    <xf numFmtId="164" fontId="10" fillId="0" borderId="1" xfId="0" applyNumberFormat="1" applyFont="1" applyBorder="1" applyAlignment="1">
      <alignment horizontal="center" vertical="center"/>
    </xf>
    <xf numFmtId="164" fontId="11" fillId="0" borderId="1" xfId="0" applyNumberFormat="1" applyFont="1" applyBorder="1" applyAlignment="1">
      <alignment horizontal="center" vertical="center"/>
    </xf>
    <xf numFmtId="164" fontId="4" fillId="0" borderId="1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 indent="1"/>
    </xf>
    <xf numFmtId="0" fontId="6" fillId="0" borderId="2" xfId="0" applyFont="1" applyBorder="1" applyAlignment="1">
      <alignment vertical="center"/>
    </xf>
    <xf numFmtId="164" fontId="4" fillId="0" borderId="2" xfId="0" applyNumberFormat="1" applyFont="1" applyBorder="1" applyAlignment="1">
      <alignment horizontal="center" vertical="center"/>
    </xf>
    <xf numFmtId="1" fontId="12" fillId="0" borderId="0" xfId="0" applyNumberFormat="1" applyFont="1" applyAlignment="1"/>
    <xf numFmtId="0" fontId="13" fillId="0" borderId="0" xfId="0" applyFont="1" applyAlignment="1">
      <alignment horizontal="right"/>
    </xf>
    <xf numFmtId="0" fontId="14" fillId="2" borderId="0" xfId="0" applyFont="1" applyFill="1" applyAlignment="1">
      <alignment vertical="center"/>
    </xf>
    <xf numFmtId="0" fontId="15" fillId="2" borderId="0" xfId="0" applyFont="1" applyFill="1" applyAlignment="1">
      <alignment horizontal="center" vertical="center"/>
    </xf>
    <xf numFmtId="0" fontId="16" fillId="3" borderId="0" xfId="0" applyFont="1" applyFill="1" applyAlignment="1">
      <alignment horizontal="center" vertical="center"/>
    </xf>
    <xf numFmtId="0" fontId="17" fillId="4" borderId="0" xfId="0" applyFont="1" applyFill="1" applyAlignment="1">
      <alignment horizontal="center" vertical="center"/>
    </xf>
    <xf numFmtId="0" fontId="18" fillId="5" borderId="0" xfId="0" applyFont="1" applyFill="1" applyAlignment="1">
      <alignment horizontal="center" vertical="center"/>
    </xf>
    <xf numFmtId="0" fontId="19" fillId="6" borderId="0" xfId="0" applyFont="1" applyFill="1" applyAlignment="1">
      <alignment horizontal="center" vertical="center"/>
    </xf>
    <xf numFmtId="0" fontId="20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 indent="1"/>
    </xf>
    <xf numFmtId="0" fontId="21" fillId="2" borderId="0" xfId="0" applyFont="1" applyFill="1" applyAlignment="1">
      <alignment horizontal="center" vertical="center"/>
    </xf>
    <xf numFmtId="0" fontId="22" fillId="0" borderId="1" xfId="0" applyFont="1" applyBorder="1" applyAlignment="1">
      <alignment horizontal="left" vertical="center" indent="1"/>
    </xf>
    <xf numFmtId="0" fontId="23" fillId="0" borderId="3" xfId="0" applyFont="1" applyBorder="1" applyAlignment="1">
      <alignment horizontal="center" vertical="center"/>
    </xf>
    <xf numFmtId="167" fontId="24" fillId="0" borderId="1" xfId="0" applyNumberFormat="1" applyFont="1" applyBorder="1" applyAlignment="1">
      <alignment horizontal="center" vertical="center"/>
    </xf>
    <xf numFmtId="167" fontId="25" fillId="0" borderId="1" xfId="0" applyNumberFormat="1" applyFont="1" applyBorder="1" applyAlignment="1">
      <alignment horizontal="center" vertical="center"/>
    </xf>
    <xf numFmtId="167" fontId="26" fillId="0" borderId="1" xfId="0" applyNumberFormat="1" applyFont="1" applyBorder="1" applyAlignment="1">
      <alignment horizontal="center" vertical="center"/>
    </xf>
    <xf numFmtId="167" fontId="27" fillId="0" borderId="1" xfId="0" applyNumberFormat="1" applyFont="1" applyBorder="1" applyAlignment="1">
      <alignment horizontal="center" vertical="center"/>
    </xf>
    <xf numFmtId="167" fontId="28" fillId="0" borderId="1" xfId="0" applyNumberFormat="1" applyFont="1" applyBorder="1" applyAlignment="1">
      <alignment horizontal="center" vertical="center"/>
    </xf>
    <xf numFmtId="0" fontId="29" fillId="0" borderId="2" xfId="0" applyFont="1" applyBorder="1" applyAlignment="1">
      <alignment horizontal="left" vertical="center" indent="1"/>
    </xf>
    <xf numFmtId="0" fontId="30" fillId="0" borderId="2" xfId="0" applyFont="1" applyBorder="1" applyAlignment="1">
      <alignment horizontal="center" vertical="center"/>
    </xf>
    <xf numFmtId="0" fontId="31" fillId="0" borderId="0" xfId="0" applyFont="1" applyAlignment="1">
      <alignment horizontal="right" vertical="center"/>
    </xf>
    <xf numFmtId="0" fontId="32" fillId="0" borderId="0" xfId="0" applyFont="1" applyAlignment="1"/>
    <xf numFmtId="0" fontId="33" fillId="0" borderId="0" xfId="0" applyFont="1" applyAlignment="1">
      <alignment vertical="center"/>
    </xf>
    <xf numFmtId="1" fontId="34" fillId="0" borderId="4" xfId="0" applyNumberFormat="1" applyFont="1" applyBorder="1" applyAlignment="1">
      <alignment horizontal="left" vertical="center"/>
    </xf>
    <xf numFmtId="0" fontId="21" fillId="2" borderId="0" xfId="0" applyFont="1" applyFill="1" applyAlignment="1">
      <alignment horizontal="left" vertical="center" indent="1"/>
    </xf>
    <xf numFmtId="0" fontId="22" fillId="0" borderId="0" xfId="0" applyFont="1" applyAlignment="1">
      <alignment vertical="center"/>
    </xf>
    <xf numFmtId="0" fontId="6" fillId="0" borderId="1" xfId="0" applyFont="1" applyBorder="1" applyAlignment="1">
      <alignment horizontal="left" vertical="center" indent="1"/>
    </xf>
    <xf numFmtId="168" fontId="6" fillId="0" borderId="1" xfId="0" applyNumberFormat="1" applyFont="1" applyBorder="1" applyAlignment="1">
      <alignment horizontal="center" vertical="center"/>
    </xf>
    <xf numFmtId="0" fontId="35" fillId="0" borderId="0" xfId="0" applyFont="1" applyAlignment="1">
      <alignment vertical="center"/>
    </xf>
    <xf numFmtId="0" fontId="36" fillId="0" borderId="0" xfId="0" applyFont="1" applyAlignment="1"/>
    <xf numFmtId="0" fontId="33" fillId="0" borderId="5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169" fontId="6" fillId="0" borderId="1" xfId="0" applyNumberFormat="1" applyFont="1" applyBorder="1" applyAlignment="1">
      <alignment horizontal="left" vertical="center"/>
    </xf>
    <xf numFmtId="0" fontId="2" fillId="0" borderId="1" xfId="0" applyFont="1" applyBorder="1" applyAlignment="1">
      <alignment vertical="center"/>
    </xf>
  </cellXfs>
  <cellStyles count="1">
    <cellStyle name="Normal" xfId="0" builtinId="0"/>
  </cellStyles>
  <dxfs count="8">
    <dxf>
      <fill>
        <patternFill>
          <bgColor rgb="FFE5E7EB"/>
        </patternFill>
      </fill>
    </dxf>
    <dxf>
      <font>
        <b/>
        <color rgb="FF1E40AF"/>
      </font>
      <fill>
        <patternFill>
          <bgColor rgb="FFDCE6FD"/>
        </patternFill>
      </fill>
    </dxf>
    <dxf>
      <font>
        <b/>
        <color rgb="FFB91C1C"/>
      </font>
      <fill>
        <patternFill>
          <bgColor rgb="FFFDE2E2"/>
        </patternFill>
      </fill>
    </dxf>
    <dxf>
      <font>
        <b/>
        <color rgb="FF6D28D9"/>
      </font>
      <fill>
        <patternFill>
          <bgColor rgb="FFEDE4FD"/>
        </patternFill>
      </fill>
    </dxf>
    <dxf>
      <font>
        <b/>
        <color rgb="FF92400E"/>
      </font>
      <fill>
        <patternFill>
          <bgColor rgb="FFFEF0C7"/>
        </patternFill>
      </fill>
    </dxf>
    <dxf>
      <fill>
        <patternFill>
          <bgColor rgb="FFE9EEFD"/>
        </patternFill>
      </fill>
    </dxf>
    <dxf>
      <fill>
        <patternFill>
          <bgColor rgb="FFF6F7F9"/>
        </patternFill>
      </fill>
    </dxf>
    <dxf>
      <font>
        <color rgb="FFFFFFFF"/>
      </font>
      <fill>
        <patternFill>
          <bgColor rgb="FF2F5BEA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theme" Target="theme/theme1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N31"/>
  <sheetViews>
    <sheetView showGridLines="0" tabSelected="1" workbookViewId="0">
      <pane xSplit="2" ySplit="5" topLeftCell="C6" activePane="bottomRight" state="frozen"/>
      <selection pane="topRight" activeCell="C1" sqref="C1"/>
      <selection pane="bottomLeft" activeCell="A6" sqref="A6"/>
      <selection pane="bottomRight"/>
    </sheetView>
  </sheetViews>
  <sheetFormatPr defaultRowHeight="15" x14ac:dyDescent="0.25"/>
  <cols>
    <col min="1" max="1" width="2.28515625" customWidth="1"/>
    <col min="2" max="2" width="22.7109375" customWidth="1"/>
    <col min="3" max="3" width="13.7109375" customWidth="1"/>
    <col min="4" max="4" width="11.28515625" customWidth="1"/>
    <col min="5" max="5" width="9.28515625" customWidth="1"/>
    <col min="6" max="7" width="10.28515625" customWidth="1"/>
    <col min="8" max="8" width="14.7109375" customWidth="1"/>
    <col min="9" max="9" width="10.28515625" customWidth="1"/>
    <col min="10" max="11" width="9.28515625" customWidth="1"/>
    <col min="12" max="12" width="10.28515625" customWidth="1"/>
    <col min="13" max="13" width="9.28515625" customWidth="1"/>
    <col min="14" max="14" width="10.28515625" customWidth="1"/>
    <col min="15" max="15" width="2.28515625" customWidth="1"/>
  </cols>
  <sheetData>
    <row r="2" spans="2:14" ht="36" customHeight="1" x14ac:dyDescent="0.25">
      <c r="B2" s="1">
        <f>"Vacation tracker "&amp;CalYear</f>
        <v>0</v>
      </c>
      <c r="C2" s="1"/>
      <c r="D2" s="1"/>
      <c r="E2" s="1"/>
      <c r="F2" s="1"/>
      <c r="G2" s="1"/>
    </row>
    <row r="3" spans="2:14" x14ac:dyDescent="0.25">
      <c r="B3" s="2" t="s">
        <v>67</v>
      </c>
      <c r="C3" s="2"/>
      <c r="D3" s="2"/>
      <c r="E3" s="2"/>
      <c r="F3" s="2"/>
      <c r="G3" s="2"/>
      <c r="H3" s="2"/>
      <c r="I3" s="2"/>
      <c r="J3" s="2"/>
    </row>
    <row r="5" spans="2:14" ht="30" customHeight="1" x14ac:dyDescent="0.25">
      <c r="B5" s="3" t="s">
        <v>68</v>
      </c>
      <c r="C5" s="3" t="s">
        <v>69</v>
      </c>
      <c r="D5" s="4" t="s">
        <v>70</v>
      </c>
      <c r="E5" s="4" t="s">
        <v>71</v>
      </c>
      <c r="F5" s="4" t="s">
        <v>72</v>
      </c>
      <c r="G5" s="4" t="s">
        <v>73</v>
      </c>
      <c r="H5" s="4" t="s">
        <v>86</v>
      </c>
      <c r="I5" s="4" t="s">
        <v>74</v>
      </c>
      <c r="J5" s="4" t="s">
        <v>75</v>
      </c>
      <c r="K5" s="4" t="s">
        <v>76</v>
      </c>
      <c r="L5" s="4" t="s">
        <v>77</v>
      </c>
      <c r="M5" s="4" t="s">
        <v>78</v>
      </c>
      <c r="N5" s="4" t="s">
        <v>79</v>
      </c>
    </row>
    <row r="6" spans="2:14" x14ac:dyDescent="0.25">
      <c r="B6" s="5" t="s">
        <v>80</v>
      </c>
      <c r="C6" s="6" t="s">
        <v>81</v>
      </c>
      <c r="D6" s="7">
        <v>15</v>
      </c>
      <c r="E6" s="7">
        <v>2</v>
      </c>
      <c r="F6" s="8">
        <f>IF($B6="","",Jan!AI6+Feb!AI6+Mar!AI6+Apr!AI6+May!AI6+Jun!AI6+Jul!AI6+Aug!AI6+Sep!AI6+Oct!AI6+Nov!AI6+Dec!AI6)</f>
        <v>0</v>
      </c>
      <c r="G6" s="9">
        <f>IF($B6="","",N(D6)+N(E6)-N(F6))</f>
        <v>0</v>
      </c>
      <c r="H6" s="10">
        <f>IF(OR($B6="",N(D6)+N(E6)=0),"",MIN(1,N(F6)/(N(D6)+N(E6))))</f>
        <v>0</v>
      </c>
      <c r="I6" s="7">
        <v>10</v>
      </c>
      <c r="J6" s="11">
        <f>IF($B6="","",Jan!AJ6+Feb!AJ6+Mar!AJ6+Apr!AJ6+May!AJ6+Jun!AJ6+Jul!AJ6+Aug!AJ6+Sep!AJ6+Oct!AJ6+Nov!AJ6+Dec!AJ6)</f>
        <v>0</v>
      </c>
      <c r="K6" s="9">
        <f>IF(OR($B6="",I6=""),"",N(I6)-N(J6))</f>
        <v>0</v>
      </c>
      <c r="L6" s="12">
        <f>IF($B6="","",Jan!AK6+Feb!AK6+Mar!AK6+Apr!AK6+May!AK6+Jun!AK6+Jul!AK6+Aug!AK6+Sep!AK6+Oct!AK6+Nov!AK6+Dec!AK6)</f>
        <v>0</v>
      </c>
      <c r="M6" s="13">
        <f>IF($B6="","",Jan!AL6+Feb!AL6+Mar!AL6+Apr!AL6+May!AL6+Jun!AL6+Jul!AL6+Aug!AL6+Sep!AL6+Oct!AL6+Nov!AL6+Dec!AL6)</f>
        <v>0</v>
      </c>
      <c r="N6" s="14">
        <f>IF($B6="","",N(F6)+N(J6)+N(L6)+N(M6))</f>
        <v>0</v>
      </c>
    </row>
    <row r="7" spans="2:14" x14ac:dyDescent="0.25">
      <c r="B7" s="5" t="s">
        <v>82</v>
      </c>
      <c r="C7" s="6" t="s">
        <v>83</v>
      </c>
      <c r="D7" s="7">
        <v>20</v>
      </c>
      <c r="E7" s="7">
        <v>0</v>
      </c>
      <c r="F7" s="8">
        <f>IF($B7="","",Jan!AI7+Feb!AI7+Mar!AI7+Apr!AI7+May!AI7+Jun!AI7+Jul!AI7+Aug!AI7+Sep!AI7+Oct!AI7+Nov!AI7+Dec!AI7)</f>
        <v>0</v>
      </c>
      <c r="G7" s="9">
        <f>IF($B7="","",N(D7)+N(E7)-N(F7))</f>
        <v>0</v>
      </c>
      <c r="H7" s="10">
        <f>IF(OR($B7="",N(D7)+N(E7)=0),"",MIN(1,N(F7)/(N(D7)+N(E7))))</f>
        <v>0</v>
      </c>
      <c r="I7" s="7">
        <v>10</v>
      </c>
      <c r="J7" s="11">
        <f>IF($B7="","",Jan!AJ7+Feb!AJ7+Mar!AJ7+Apr!AJ7+May!AJ7+Jun!AJ7+Jul!AJ7+Aug!AJ7+Sep!AJ7+Oct!AJ7+Nov!AJ7+Dec!AJ7)</f>
        <v>0</v>
      </c>
      <c r="K7" s="9">
        <f>IF(OR($B7="",I7=""),"",N(I7)-N(J7))</f>
        <v>0</v>
      </c>
      <c r="L7" s="12">
        <f>IF($B7="","",Jan!AK7+Feb!AK7+Mar!AK7+Apr!AK7+May!AK7+Jun!AK7+Jul!AK7+Aug!AK7+Sep!AK7+Oct!AK7+Nov!AK7+Dec!AK7)</f>
        <v>0</v>
      </c>
      <c r="M7" s="13">
        <f>IF($B7="","",Jan!AL7+Feb!AL7+Mar!AL7+Apr!AL7+May!AL7+Jun!AL7+Jul!AL7+Aug!AL7+Sep!AL7+Oct!AL7+Nov!AL7+Dec!AL7)</f>
        <v>0</v>
      </c>
      <c r="N7" s="14">
        <f>IF($B7="","",N(F7)+N(J7)+N(L7)+N(M7))</f>
        <v>0</v>
      </c>
    </row>
    <row r="8" spans="2:14" x14ac:dyDescent="0.25">
      <c r="B8" s="5" t="s">
        <v>84</v>
      </c>
      <c r="C8" s="6" t="s">
        <v>85</v>
      </c>
      <c r="D8" s="7">
        <v>15</v>
      </c>
      <c r="E8" s="7">
        <v>3</v>
      </c>
      <c r="F8" s="8">
        <f>IF($B8="","",Jan!AI8+Feb!AI8+Mar!AI8+Apr!AI8+May!AI8+Jun!AI8+Jul!AI8+Aug!AI8+Sep!AI8+Oct!AI8+Nov!AI8+Dec!AI8)</f>
        <v>0</v>
      </c>
      <c r="G8" s="9">
        <f>IF($B8="","",N(D8)+N(E8)-N(F8))</f>
        <v>0</v>
      </c>
      <c r="H8" s="10">
        <f>IF(OR($B8="",N(D8)+N(E8)=0),"",MIN(1,N(F8)/(N(D8)+N(E8))))</f>
        <v>0</v>
      </c>
      <c r="I8" s="7">
        <v>10</v>
      </c>
      <c r="J8" s="11">
        <f>IF($B8="","",Jan!AJ8+Feb!AJ8+Mar!AJ8+Apr!AJ8+May!AJ8+Jun!AJ8+Jul!AJ8+Aug!AJ8+Sep!AJ8+Oct!AJ8+Nov!AJ8+Dec!AJ8)</f>
        <v>0</v>
      </c>
      <c r="K8" s="9">
        <f>IF(OR($B8="",I8=""),"",N(I8)-N(J8))</f>
        <v>0</v>
      </c>
      <c r="L8" s="12">
        <f>IF($B8="","",Jan!AK8+Feb!AK8+Mar!AK8+Apr!AK8+May!AK8+Jun!AK8+Jul!AK8+Aug!AK8+Sep!AK8+Oct!AK8+Nov!AK8+Dec!AK8)</f>
        <v>0</v>
      </c>
      <c r="M8" s="13">
        <f>IF($B8="","",Jan!AL8+Feb!AL8+Mar!AL8+Apr!AL8+May!AL8+Jun!AL8+Jul!AL8+Aug!AL8+Sep!AL8+Oct!AL8+Nov!AL8+Dec!AL8)</f>
        <v>0</v>
      </c>
      <c r="N8" s="14">
        <f>IF($B8="","",N(F8)+N(J8)+N(L8)+N(M8))</f>
        <v>0</v>
      </c>
    </row>
    <row r="9" spans="2:14" x14ac:dyDescent="0.25">
      <c r="B9" s="5"/>
      <c r="C9" s="6"/>
      <c r="D9" s="7"/>
      <c r="E9" s="7"/>
      <c r="F9" s="8">
        <f>IF($B9="","",Jan!AI9+Feb!AI9+Mar!AI9+Apr!AI9+May!AI9+Jun!AI9+Jul!AI9+Aug!AI9+Sep!AI9+Oct!AI9+Nov!AI9+Dec!AI9)</f>
        <v>0</v>
      </c>
      <c r="G9" s="9">
        <f>IF($B9="","",N(D9)+N(E9)-N(F9))</f>
        <v>0</v>
      </c>
      <c r="H9" s="10">
        <f>IF(OR($B9="",N(D9)+N(E9)=0),"",MIN(1,N(F9)/(N(D9)+N(E9))))</f>
        <v>0</v>
      </c>
      <c r="I9" s="7"/>
      <c r="J9" s="11">
        <f>IF($B9="","",Jan!AJ9+Feb!AJ9+Mar!AJ9+Apr!AJ9+May!AJ9+Jun!AJ9+Jul!AJ9+Aug!AJ9+Sep!AJ9+Oct!AJ9+Nov!AJ9+Dec!AJ9)</f>
        <v>0</v>
      </c>
      <c r="K9" s="9">
        <f>IF(OR($B9="",I9=""),"",N(I9)-N(J9))</f>
        <v>0</v>
      </c>
      <c r="L9" s="12">
        <f>IF($B9="","",Jan!AK9+Feb!AK9+Mar!AK9+Apr!AK9+May!AK9+Jun!AK9+Jul!AK9+Aug!AK9+Sep!AK9+Oct!AK9+Nov!AK9+Dec!AK9)</f>
        <v>0</v>
      </c>
      <c r="M9" s="13">
        <f>IF($B9="","",Jan!AL9+Feb!AL9+Mar!AL9+Apr!AL9+May!AL9+Jun!AL9+Jul!AL9+Aug!AL9+Sep!AL9+Oct!AL9+Nov!AL9+Dec!AL9)</f>
        <v>0</v>
      </c>
      <c r="N9" s="14">
        <f>IF($B9="","",N(F9)+N(J9)+N(L9)+N(M9))</f>
        <v>0</v>
      </c>
    </row>
    <row r="10" spans="2:14" x14ac:dyDescent="0.25">
      <c r="B10" s="5"/>
      <c r="C10" s="6"/>
      <c r="D10" s="7"/>
      <c r="E10" s="7"/>
      <c r="F10" s="8">
        <f>IF($B10="","",Jan!AI10+Feb!AI10+Mar!AI10+Apr!AI10+May!AI10+Jun!AI10+Jul!AI10+Aug!AI10+Sep!AI10+Oct!AI10+Nov!AI10+Dec!AI10)</f>
        <v>0</v>
      </c>
      <c r="G10" s="9">
        <f>IF($B10="","",N(D10)+N(E10)-N(F10))</f>
        <v>0</v>
      </c>
      <c r="H10" s="10">
        <f>IF(OR($B10="",N(D10)+N(E10)=0),"",MIN(1,N(F10)/(N(D10)+N(E10))))</f>
        <v>0</v>
      </c>
      <c r="I10" s="7"/>
      <c r="J10" s="11">
        <f>IF($B10="","",Jan!AJ10+Feb!AJ10+Mar!AJ10+Apr!AJ10+May!AJ10+Jun!AJ10+Jul!AJ10+Aug!AJ10+Sep!AJ10+Oct!AJ10+Nov!AJ10+Dec!AJ10)</f>
        <v>0</v>
      </c>
      <c r="K10" s="9">
        <f>IF(OR($B10="",I10=""),"",N(I10)-N(J10))</f>
        <v>0</v>
      </c>
      <c r="L10" s="12">
        <f>IF($B10="","",Jan!AK10+Feb!AK10+Mar!AK10+Apr!AK10+May!AK10+Jun!AK10+Jul!AK10+Aug!AK10+Sep!AK10+Oct!AK10+Nov!AK10+Dec!AK10)</f>
        <v>0</v>
      </c>
      <c r="M10" s="13">
        <f>IF($B10="","",Jan!AL10+Feb!AL10+Mar!AL10+Apr!AL10+May!AL10+Jun!AL10+Jul!AL10+Aug!AL10+Sep!AL10+Oct!AL10+Nov!AL10+Dec!AL10)</f>
        <v>0</v>
      </c>
      <c r="N10" s="14">
        <f>IF($B10="","",N(F10)+N(J10)+N(L10)+N(M10))</f>
        <v>0</v>
      </c>
    </row>
    <row r="11" spans="2:14" x14ac:dyDescent="0.25">
      <c r="B11" s="5"/>
      <c r="C11" s="6"/>
      <c r="D11" s="7"/>
      <c r="E11" s="7"/>
      <c r="F11" s="8">
        <f>IF($B11="","",Jan!AI11+Feb!AI11+Mar!AI11+Apr!AI11+May!AI11+Jun!AI11+Jul!AI11+Aug!AI11+Sep!AI11+Oct!AI11+Nov!AI11+Dec!AI11)</f>
        <v>0</v>
      </c>
      <c r="G11" s="9">
        <f>IF($B11="","",N(D11)+N(E11)-N(F11))</f>
        <v>0</v>
      </c>
      <c r="H11" s="10">
        <f>IF(OR($B11="",N(D11)+N(E11)=0),"",MIN(1,N(F11)/(N(D11)+N(E11))))</f>
        <v>0</v>
      </c>
      <c r="I11" s="7"/>
      <c r="J11" s="11">
        <f>IF($B11="","",Jan!AJ11+Feb!AJ11+Mar!AJ11+Apr!AJ11+May!AJ11+Jun!AJ11+Jul!AJ11+Aug!AJ11+Sep!AJ11+Oct!AJ11+Nov!AJ11+Dec!AJ11)</f>
        <v>0</v>
      </c>
      <c r="K11" s="9">
        <f>IF(OR($B11="",I11=""),"",N(I11)-N(J11))</f>
        <v>0</v>
      </c>
      <c r="L11" s="12">
        <f>IF($B11="","",Jan!AK11+Feb!AK11+Mar!AK11+Apr!AK11+May!AK11+Jun!AK11+Jul!AK11+Aug!AK11+Sep!AK11+Oct!AK11+Nov!AK11+Dec!AK11)</f>
        <v>0</v>
      </c>
      <c r="M11" s="13">
        <f>IF($B11="","",Jan!AL11+Feb!AL11+Mar!AL11+Apr!AL11+May!AL11+Jun!AL11+Jul!AL11+Aug!AL11+Sep!AL11+Oct!AL11+Nov!AL11+Dec!AL11)</f>
        <v>0</v>
      </c>
      <c r="N11" s="14">
        <f>IF($B11="","",N(F11)+N(J11)+N(L11)+N(M11))</f>
        <v>0</v>
      </c>
    </row>
    <row r="12" spans="2:14" x14ac:dyDescent="0.25">
      <c r="B12" s="5"/>
      <c r="C12" s="6"/>
      <c r="D12" s="7"/>
      <c r="E12" s="7"/>
      <c r="F12" s="8">
        <f>IF($B12="","",Jan!AI12+Feb!AI12+Mar!AI12+Apr!AI12+May!AI12+Jun!AI12+Jul!AI12+Aug!AI12+Sep!AI12+Oct!AI12+Nov!AI12+Dec!AI12)</f>
        <v>0</v>
      </c>
      <c r="G12" s="9">
        <f>IF($B12="","",N(D12)+N(E12)-N(F12))</f>
        <v>0</v>
      </c>
      <c r="H12" s="10">
        <f>IF(OR($B12="",N(D12)+N(E12)=0),"",MIN(1,N(F12)/(N(D12)+N(E12))))</f>
        <v>0</v>
      </c>
      <c r="I12" s="7"/>
      <c r="J12" s="11">
        <f>IF($B12="","",Jan!AJ12+Feb!AJ12+Mar!AJ12+Apr!AJ12+May!AJ12+Jun!AJ12+Jul!AJ12+Aug!AJ12+Sep!AJ12+Oct!AJ12+Nov!AJ12+Dec!AJ12)</f>
        <v>0</v>
      </c>
      <c r="K12" s="9">
        <f>IF(OR($B12="",I12=""),"",N(I12)-N(J12))</f>
        <v>0</v>
      </c>
      <c r="L12" s="12">
        <f>IF($B12="","",Jan!AK12+Feb!AK12+Mar!AK12+Apr!AK12+May!AK12+Jun!AK12+Jul!AK12+Aug!AK12+Sep!AK12+Oct!AK12+Nov!AK12+Dec!AK12)</f>
        <v>0</v>
      </c>
      <c r="M12" s="13">
        <f>IF($B12="","",Jan!AL12+Feb!AL12+Mar!AL12+Apr!AL12+May!AL12+Jun!AL12+Jul!AL12+Aug!AL12+Sep!AL12+Oct!AL12+Nov!AL12+Dec!AL12)</f>
        <v>0</v>
      </c>
      <c r="N12" s="14">
        <f>IF($B12="","",N(F12)+N(J12)+N(L12)+N(M12))</f>
        <v>0</v>
      </c>
    </row>
    <row r="13" spans="2:14" x14ac:dyDescent="0.25">
      <c r="B13" s="5"/>
      <c r="C13" s="6"/>
      <c r="D13" s="7"/>
      <c r="E13" s="7"/>
      <c r="F13" s="8">
        <f>IF($B13="","",Jan!AI13+Feb!AI13+Mar!AI13+Apr!AI13+May!AI13+Jun!AI13+Jul!AI13+Aug!AI13+Sep!AI13+Oct!AI13+Nov!AI13+Dec!AI13)</f>
        <v>0</v>
      </c>
      <c r="G13" s="9">
        <f>IF($B13="","",N(D13)+N(E13)-N(F13))</f>
        <v>0</v>
      </c>
      <c r="H13" s="10">
        <f>IF(OR($B13="",N(D13)+N(E13)=0),"",MIN(1,N(F13)/(N(D13)+N(E13))))</f>
        <v>0</v>
      </c>
      <c r="I13" s="7"/>
      <c r="J13" s="11">
        <f>IF($B13="","",Jan!AJ13+Feb!AJ13+Mar!AJ13+Apr!AJ13+May!AJ13+Jun!AJ13+Jul!AJ13+Aug!AJ13+Sep!AJ13+Oct!AJ13+Nov!AJ13+Dec!AJ13)</f>
        <v>0</v>
      </c>
      <c r="K13" s="9">
        <f>IF(OR($B13="",I13=""),"",N(I13)-N(J13))</f>
        <v>0</v>
      </c>
      <c r="L13" s="12">
        <f>IF($B13="","",Jan!AK13+Feb!AK13+Mar!AK13+Apr!AK13+May!AK13+Jun!AK13+Jul!AK13+Aug!AK13+Sep!AK13+Oct!AK13+Nov!AK13+Dec!AK13)</f>
        <v>0</v>
      </c>
      <c r="M13" s="13">
        <f>IF($B13="","",Jan!AL13+Feb!AL13+Mar!AL13+Apr!AL13+May!AL13+Jun!AL13+Jul!AL13+Aug!AL13+Sep!AL13+Oct!AL13+Nov!AL13+Dec!AL13)</f>
        <v>0</v>
      </c>
      <c r="N13" s="14">
        <f>IF($B13="","",N(F13)+N(J13)+N(L13)+N(M13))</f>
        <v>0</v>
      </c>
    </row>
    <row r="14" spans="2:14" x14ac:dyDescent="0.25">
      <c r="B14" s="5"/>
      <c r="C14" s="6"/>
      <c r="D14" s="7"/>
      <c r="E14" s="7"/>
      <c r="F14" s="8">
        <f>IF($B14="","",Jan!AI14+Feb!AI14+Mar!AI14+Apr!AI14+May!AI14+Jun!AI14+Jul!AI14+Aug!AI14+Sep!AI14+Oct!AI14+Nov!AI14+Dec!AI14)</f>
        <v>0</v>
      </c>
      <c r="G14" s="9">
        <f>IF($B14="","",N(D14)+N(E14)-N(F14))</f>
        <v>0</v>
      </c>
      <c r="H14" s="10">
        <f>IF(OR($B14="",N(D14)+N(E14)=0),"",MIN(1,N(F14)/(N(D14)+N(E14))))</f>
        <v>0</v>
      </c>
      <c r="I14" s="7"/>
      <c r="J14" s="11">
        <f>IF($B14="","",Jan!AJ14+Feb!AJ14+Mar!AJ14+Apr!AJ14+May!AJ14+Jun!AJ14+Jul!AJ14+Aug!AJ14+Sep!AJ14+Oct!AJ14+Nov!AJ14+Dec!AJ14)</f>
        <v>0</v>
      </c>
      <c r="K14" s="9">
        <f>IF(OR($B14="",I14=""),"",N(I14)-N(J14))</f>
        <v>0</v>
      </c>
      <c r="L14" s="12">
        <f>IF($B14="","",Jan!AK14+Feb!AK14+Mar!AK14+Apr!AK14+May!AK14+Jun!AK14+Jul!AK14+Aug!AK14+Sep!AK14+Oct!AK14+Nov!AK14+Dec!AK14)</f>
        <v>0</v>
      </c>
      <c r="M14" s="13">
        <f>IF($B14="","",Jan!AL14+Feb!AL14+Mar!AL14+Apr!AL14+May!AL14+Jun!AL14+Jul!AL14+Aug!AL14+Sep!AL14+Oct!AL14+Nov!AL14+Dec!AL14)</f>
        <v>0</v>
      </c>
      <c r="N14" s="14">
        <f>IF($B14="","",N(F14)+N(J14)+N(L14)+N(M14))</f>
        <v>0</v>
      </c>
    </row>
    <row r="15" spans="2:14" x14ac:dyDescent="0.25">
      <c r="B15" s="5"/>
      <c r="C15" s="6"/>
      <c r="D15" s="7"/>
      <c r="E15" s="7"/>
      <c r="F15" s="8">
        <f>IF($B15="","",Jan!AI15+Feb!AI15+Mar!AI15+Apr!AI15+May!AI15+Jun!AI15+Jul!AI15+Aug!AI15+Sep!AI15+Oct!AI15+Nov!AI15+Dec!AI15)</f>
        <v>0</v>
      </c>
      <c r="G15" s="9">
        <f>IF($B15="","",N(D15)+N(E15)-N(F15))</f>
        <v>0</v>
      </c>
      <c r="H15" s="10">
        <f>IF(OR($B15="",N(D15)+N(E15)=0),"",MIN(1,N(F15)/(N(D15)+N(E15))))</f>
        <v>0</v>
      </c>
      <c r="I15" s="7"/>
      <c r="J15" s="11">
        <f>IF($B15="","",Jan!AJ15+Feb!AJ15+Mar!AJ15+Apr!AJ15+May!AJ15+Jun!AJ15+Jul!AJ15+Aug!AJ15+Sep!AJ15+Oct!AJ15+Nov!AJ15+Dec!AJ15)</f>
        <v>0</v>
      </c>
      <c r="K15" s="9">
        <f>IF(OR($B15="",I15=""),"",N(I15)-N(J15))</f>
        <v>0</v>
      </c>
      <c r="L15" s="12">
        <f>IF($B15="","",Jan!AK15+Feb!AK15+Mar!AK15+Apr!AK15+May!AK15+Jun!AK15+Jul!AK15+Aug!AK15+Sep!AK15+Oct!AK15+Nov!AK15+Dec!AK15)</f>
        <v>0</v>
      </c>
      <c r="M15" s="13">
        <f>IF($B15="","",Jan!AL15+Feb!AL15+Mar!AL15+Apr!AL15+May!AL15+Jun!AL15+Jul!AL15+Aug!AL15+Sep!AL15+Oct!AL15+Nov!AL15+Dec!AL15)</f>
        <v>0</v>
      </c>
      <c r="N15" s="14">
        <f>IF($B15="","",N(F15)+N(J15)+N(L15)+N(M15))</f>
        <v>0</v>
      </c>
    </row>
    <row r="16" spans="2:14" x14ac:dyDescent="0.25">
      <c r="B16" s="5"/>
      <c r="C16" s="6"/>
      <c r="D16" s="7"/>
      <c r="E16" s="7"/>
      <c r="F16" s="8">
        <f>IF($B16="","",Jan!AI16+Feb!AI16+Mar!AI16+Apr!AI16+May!AI16+Jun!AI16+Jul!AI16+Aug!AI16+Sep!AI16+Oct!AI16+Nov!AI16+Dec!AI16)</f>
        <v>0</v>
      </c>
      <c r="G16" s="9">
        <f>IF($B16="","",N(D16)+N(E16)-N(F16))</f>
        <v>0</v>
      </c>
      <c r="H16" s="10">
        <f>IF(OR($B16="",N(D16)+N(E16)=0),"",MIN(1,N(F16)/(N(D16)+N(E16))))</f>
        <v>0</v>
      </c>
      <c r="I16" s="7"/>
      <c r="J16" s="11">
        <f>IF($B16="","",Jan!AJ16+Feb!AJ16+Mar!AJ16+Apr!AJ16+May!AJ16+Jun!AJ16+Jul!AJ16+Aug!AJ16+Sep!AJ16+Oct!AJ16+Nov!AJ16+Dec!AJ16)</f>
        <v>0</v>
      </c>
      <c r="K16" s="9">
        <f>IF(OR($B16="",I16=""),"",N(I16)-N(J16))</f>
        <v>0</v>
      </c>
      <c r="L16" s="12">
        <f>IF($B16="","",Jan!AK16+Feb!AK16+Mar!AK16+Apr!AK16+May!AK16+Jun!AK16+Jul!AK16+Aug!AK16+Sep!AK16+Oct!AK16+Nov!AK16+Dec!AK16)</f>
        <v>0</v>
      </c>
      <c r="M16" s="13">
        <f>IF($B16="","",Jan!AL16+Feb!AL16+Mar!AL16+Apr!AL16+May!AL16+Jun!AL16+Jul!AL16+Aug!AL16+Sep!AL16+Oct!AL16+Nov!AL16+Dec!AL16)</f>
        <v>0</v>
      </c>
      <c r="N16" s="14">
        <f>IF($B16="","",N(F16)+N(J16)+N(L16)+N(M16))</f>
        <v>0</v>
      </c>
    </row>
    <row r="17" spans="2:14" x14ac:dyDescent="0.25">
      <c r="B17" s="5"/>
      <c r="C17" s="6"/>
      <c r="D17" s="7"/>
      <c r="E17" s="7"/>
      <c r="F17" s="8">
        <f>IF($B17="","",Jan!AI17+Feb!AI17+Mar!AI17+Apr!AI17+May!AI17+Jun!AI17+Jul!AI17+Aug!AI17+Sep!AI17+Oct!AI17+Nov!AI17+Dec!AI17)</f>
        <v>0</v>
      </c>
      <c r="G17" s="9">
        <f>IF($B17="","",N(D17)+N(E17)-N(F17))</f>
        <v>0</v>
      </c>
      <c r="H17" s="10">
        <f>IF(OR($B17="",N(D17)+N(E17)=0),"",MIN(1,N(F17)/(N(D17)+N(E17))))</f>
        <v>0</v>
      </c>
      <c r="I17" s="7"/>
      <c r="J17" s="11">
        <f>IF($B17="","",Jan!AJ17+Feb!AJ17+Mar!AJ17+Apr!AJ17+May!AJ17+Jun!AJ17+Jul!AJ17+Aug!AJ17+Sep!AJ17+Oct!AJ17+Nov!AJ17+Dec!AJ17)</f>
        <v>0</v>
      </c>
      <c r="K17" s="9">
        <f>IF(OR($B17="",I17=""),"",N(I17)-N(J17))</f>
        <v>0</v>
      </c>
      <c r="L17" s="12">
        <f>IF($B17="","",Jan!AK17+Feb!AK17+Mar!AK17+Apr!AK17+May!AK17+Jun!AK17+Jul!AK17+Aug!AK17+Sep!AK17+Oct!AK17+Nov!AK17+Dec!AK17)</f>
        <v>0</v>
      </c>
      <c r="M17" s="13">
        <f>IF($B17="","",Jan!AL17+Feb!AL17+Mar!AL17+Apr!AL17+May!AL17+Jun!AL17+Jul!AL17+Aug!AL17+Sep!AL17+Oct!AL17+Nov!AL17+Dec!AL17)</f>
        <v>0</v>
      </c>
      <c r="N17" s="14">
        <f>IF($B17="","",N(F17)+N(J17)+N(L17)+N(M17))</f>
        <v>0</v>
      </c>
    </row>
    <row r="18" spans="2:14" x14ac:dyDescent="0.25">
      <c r="B18" s="5"/>
      <c r="C18" s="6"/>
      <c r="D18" s="7"/>
      <c r="E18" s="7"/>
      <c r="F18" s="8">
        <f>IF($B18="","",Jan!AI18+Feb!AI18+Mar!AI18+Apr!AI18+May!AI18+Jun!AI18+Jul!AI18+Aug!AI18+Sep!AI18+Oct!AI18+Nov!AI18+Dec!AI18)</f>
        <v>0</v>
      </c>
      <c r="G18" s="9">
        <f>IF($B18="","",N(D18)+N(E18)-N(F18))</f>
        <v>0</v>
      </c>
      <c r="H18" s="10">
        <f>IF(OR($B18="",N(D18)+N(E18)=0),"",MIN(1,N(F18)/(N(D18)+N(E18))))</f>
        <v>0</v>
      </c>
      <c r="I18" s="7"/>
      <c r="J18" s="11">
        <f>IF($B18="","",Jan!AJ18+Feb!AJ18+Mar!AJ18+Apr!AJ18+May!AJ18+Jun!AJ18+Jul!AJ18+Aug!AJ18+Sep!AJ18+Oct!AJ18+Nov!AJ18+Dec!AJ18)</f>
        <v>0</v>
      </c>
      <c r="K18" s="9">
        <f>IF(OR($B18="",I18=""),"",N(I18)-N(J18))</f>
        <v>0</v>
      </c>
      <c r="L18" s="12">
        <f>IF($B18="","",Jan!AK18+Feb!AK18+Mar!AK18+Apr!AK18+May!AK18+Jun!AK18+Jul!AK18+Aug!AK18+Sep!AK18+Oct!AK18+Nov!AK18+Dec!AK18)</f>
        <v>0</v>
      </c>
      <c r="M18" s="13">
        <f>IF($B18="","",Jan!AL18+Feb!AL18+Mar!AL18+Apr!AL18+May!AL18+Jun!AL18+Jul!AL18+Aug!AL18+Sep!AL18+Oct!AL18+Nov!AL18+Dec!AL18)</f>
        <v>0</v>
      </c>
      <c r="N18" s="14">
        <f>IF($B18="","",N(F18)+N(J18)+N(L18)+N(M18))</f>
        <v>0</v>
      </c>
    </row>
    <row r="19" spans="2:14" x14ac:dyDescent="0.25">
      <c r="B19" s="5"/>
      <c r="C19" s="6"/>
      <c r="D19" s="7"/>
      <c r="E19" s="7"/>
      <c r="F19" s="8">
        <f>IF($B19="","",Jan!AI19+Feb!AI19+Mar!AI19+Apr!AI19+May!AI19+Jun!AI19+Jul!AI19+Aug!AI19+Sep!AI19+Oct!AI19+Nov!AI19+Dec!AI19)</f>
        <v>0</v>
      </c>
      <c r="G19" s="9">
        <f>IF($B19="","",N(D19)+N(E19)-N(F19))</f>
        <v>0</v>
      </c>
      <c r="H19" s="10">
        <f>IF(OR($B19="",N(D19)+N(E19)=0),"",MIN(1,N(F19)/(N(D19)+N(E19))))</f>
        <v>0</v>
      </c>
      <c r="I19" s="7"/>
      <c r="J19" s="11">
        <f>IF($B19="","",Jan!AJ19+Feb!AJ19+Mar!AJ19+Apr!AJ19+May!AJ19+Jun!AJ19+Jul!AJ19+Aug!AJ19+Sep!AJ19+Oct!AJ19+Nov!AJ19+Dec!AJ19)</f>
        <v>0</v>
      </c>
      <c r="K19" s="9">
        <f>IF(OR($B19="",I19=""),"",N(I19)-N(J19))</f>
        <v>0</v>
      </c>
      <c r="L19" s="12">
        <f>IF($B19="","",Jan!AK19+Feb!AK19+Mar!AK19+Apr!AK19+May!AK19+Jun!AK19+Jul!AK19+Aug!AK19+Sep!AK19+Oct!AK19+Nov!AK19+Dec!AK19)</f>
        <v>0</v>
      </c>
      <c r="M19" s="13">
        <f>IF($B19="","",Jan!AL19+Feb!AL19+Mar!AL19+Apr!AL19+May!AL19+Jun!AL19+Jul!AL19+Aug!AL19+Sep!AL19+Oct!AL19+Nov!AL19+Dec!AL19)</f>
        <v>0</v>
      </c>
      <c r="N19" s="14">
        <f>IF($B19="","",N(F19)+N(J19)+N(L19)+N(M19))</f>
        <v>0</v>
      </c>
    </row>
    <row r="20" spans="2:14" x14ac:dyDescent="0.25">
      <c r="B20" s="5"/>
      <c r="C20" s="6"/>
      <c r="D20" s="7"/>
      <c r="E20" s="7"/>
      <c r="F20" s="8">
        <f>IF($B20="","",Jan!AI20+Feb!AI20+Mar!AI20+Apr!AI20+May!AI20+Jun!AI20+Jul!AI20+Aug!AI20+Sep!AI20+Oct!AI20+Nov!AI20+Dec!AI20)</f>
        <v>0</v>
      </c>
      <c r="G20" s="9">
        <f>IF($B20="","",N(D20)+N(E20)-N(F20))</f>
        <v>0</v>
      </c>
      <c r="H20" s="10">
        <f>IF(OR($B20="",N(D20)+N(E20)=0),"",MIN(1,N(F20)/(N(D20)+N(E20))))</f>
        <v>0</v>
      </c>
      <c r="I20" s="7"/>
      <c r="J20" s="11">
        <f>IF($B20="","",Jan!AJ20+Feb!AJ20+Mar!AJ20+Apr!AJ20+May!AJ20+Jun!AJ20+Jul!AJ20+Aug!AJ20+Sep!AJ20+Oct!AJ20+Nov!AJ20+Dec!AJ20)</f>
        <v>0</v>
      </c>
      <c r="K20" s="9">
        <f>IF(OR($B20="",I20=""),"",N(I20)-N(J20))</f>
        <v>0</v>
      </c>
      <c r="L20" s="12">
        <f>IF($B20="","",Jan!AK20+Feb!AK20+Mar!AK20+Apr!AK20+May!AK20+Jun!AK20+Jul!AK20+Aug!AK20+Sep!AK20+Oct!AK20+Nov!AK20+Dec!AK20)</f>
        <v>0</v>
      </c>
      <c r="M20" s="13">
        <f>IF($B20="","",Jan!AL20+Feb!AL20+Mar!AL20+Apr!AL20+May!AL20+Jun!AL20+Jul!AL20+Aug!AL20+Sep!AL20+Oct!AL20+Nov!AL20+Dec!AL20)</f>
        <v>0</v>
      </c>
      <c r="N20" s="14">
        <f>IF($B20="","",N(F20)+N(J20)+N(L20)+N(M20))</f>
        <v>0</v>
      </c>
    </row>
    <row r="21" spans="2:14" x14ac:dyDescent="0.25">
      <c r="B21" s="5"/>
      <c r="C21" s="6"/>
      <c r="D21" s="7"/>
      <c r="E21" s="7"/>
      <c r="F21" s="8">
        <f>IF($B21="","",Jan!AI21+Feb!AI21+Mar!AI21+Apr!AI21+May!AI21+Jun!AI21+Jul!AI21+Aug!AI21+Sep!AI21+Oct!AI21+Nov!AI21+Dec!AI21)</f>
        <v>0</v>
      </c>
      <c r="G21" s="9">
        <f>IF($B21="","",N(D21)+N(E21)-N(F21))</f>
        <v>0</v>
      </c>
      <c r="H21" s="10">
        <f>IF(OR($B21="",N(D21)+N(E21)=0),"",MIN(1,N(F21)/(N(D21)+N(E21))))</f>
        <v>0</v>
      </c>
      <c r="I21" s="7"/>
      <c r="J21" s="11">
        <f>IF($B21="","",Jan!AJ21+Feb!AJ21+Mar!AJ21+Apr!AJ21+May!AJ21+Jun!AJ21+Jul!AJ21+Aug!AJ21+Sep!AJ21+Oct!AJ21+Nov!AJ21+Dec!AJ21)</f>
        <v>0</v>
      </c>
      <c r="K21" s="9">
        <f>IF(OR($B21="",I21=""),"",N(I21)-N(J21))</f>
        <v>0</v>
      </c>
      <c r="L21" s="12">
        <f>IF($B21="","",Jan!AK21+Feb!AK21+Mar!AK21+Apr!AK21+May!AK21+Jun!AK21+Jul!AK21+Aug!AK21+Sep!AK21+Oct!AK21+Nov!AK21+Dec!AK21)</f>
        <v>0</v>
      </c>
      <c r="M21" s="13">
        <f>IF($B21="","",Jan!AL21+Feb!AL21+Mar!AL21+Apr!AL21+May!AL21+Jun!AL21+Jul!AL21+Aug!AL21+Sep!AL21+Oct!AL21+Nov!AL21+Dec!AL21)</f>
        <v>0</v>
      </c>
      <c r="N21" s="14">
        <f>IF($B21="","",N(F21)+N(J21)+N(L21)+N(M21))</f>
        <v>0</v>
      </c>
    </row>
    <row r="22" spans="2:14" x14ac:dyDescent="0.25">
      <c r="B22" s="5"/>
      <c r="C22" s="6"/>
      <c r="D22" s="7"/>
      <c r="E22" s="7"/>
      <c r="F22" s="8">
        <f>IF($B22="","",Jan!AI22+Feb!AI22+Mar!AI22+Apr!AI22+May!AI22+Jun!AI22+Jul!AI22+Aug!AI22+Sep!AI22+Oct!AI22+Nov!AI22+Dec!AI22)</f>
        <v>0</v>
      </c>
      <c r="G22" s="9">
        <f>IF($B22="","",N(D22)+N(E22)-N(F22))</f>
        <v>0</v>
      </c>
      <c r="H22" s="10">
        <f>IF(OR($B22="",N(D22)+N(E22)=0),"",MIN(1,N(F22)/(N(D22)+N(E22))))</f>
        <v>0</v>
      </c>
      <c r="I22" s="7"/>
      <c r="J22" s="11">
        <f>IF($B22="","",Jan!AJ22+Feb!AJ22+Mar!AJ22+Apr!AJ22+May!AJ22+Jun!AJ22+Jul!AJ22+Aug!AJ22+Sep!AJ22+Oct!AJ22+Nov!AJ22+Dec!AJ22)</f>
        <v>0</v>
      </c>
      <c r="K22" s="9">
        <f>IF(OR($B22="",I22=""),"",N(I22)-N(J22))</f>
        <v>0</v>
      </c>
      <c r="L22" s="12">
        <f>IF($B22="","",Jan!AK22+Feb!AK22+Mar!AK22+Apr!AK22+May!AK22+Jun!AK22+Jul!AK22+Aug!AK22+Sep!AK22+Oct!AK22+Nov!AK22+Dec!AK22)</f>
        <v>0</v>
      </c>
      <c r="M22" s="13">
        <f>IF($B22="","",Jan!AL22+Feb!AL22+Mar!AL22+Apr!AL22+May!AL22+Jun!AL22+Jul!AL22+Aug!AL22+Sep!AL22+Oct!AL22+Nov!AL22+Dec!AL22)</f>
        <v>0</v>
      </c>
      <c r="N22" s="14">
        <f>IF($B22="","",N(F22)+N(J22)+N(L22)+N(M22))</f>
        <v>0</v>
      </c>
    </row>
    <row r="23" spans="2:14" x14ac:dyDescent="0.25">
      <c r="B23" s="5"/>
      <c r="C23" s="6"/>
      <c r="D23" s="7"/>
      <c r="E23" s="7"/>
      <c r="F23" s="8">
        <f>IF($B23="","",Jan!AI23+Feb!AI23+Mar!AI23+Apr!AI23+May!AI23+Jun!AI23+Jul!AI23+Aug!AI23+Sep!AI23+Oct!AI23+Nov!AI23+Dec!AI23)</f>
        <v>0</v>
      </c>
      <c r="G23" s="9">
        <f>IF($B23="","",N(D23)+N(E23)-N(F23))</f>
        <v>0</v>
      </c>
      <c r="H23" s="10">
        <f>IF(OR($B23="",N(D23)+N(E23)=0),"",MIN(1,N(F23)/(N(D23)+N(E23))))</f>
        <v>0</v>
      </c>
      <c r="I23" s="7"/>
      <c r="J23" s="11">
        <f>IF($B23="","",Jan!AJ23+Feb!AJ23+Mar!AJ23+Apr!AJ23+May!AJ23+Jun!AJ23+Jul!AJ23+Aug!AJ23+Sep!AJ23+Oct!AJ23+Nov!AJ23+Dec!AJ23)</f>
        <v>0</v>
      </c>
      <c r="K23" s="9">
        <f>IF(OR($B23="",I23=""),"",N(I23)-N(J23))</f>
        <v>0</v>
      </c>
      <c r="L23" s="12">
        <f>IF($B23="","",Jan!AK23+Feb!AK23+Mar!AK23+Apr!AK23+May!AK23+Jun!AK23+Jul!AK23+Aug!AK23+Sep!AK23+Oct!AK23+Nov!AK23+Dec!AK23)</f>
        <v>0</v>
      </c>
      <c r="M23" s="13">
        <f>IF($B23="","",Jan!AL23+Feb!AL23+Mar!AL23+Apr!AL23+May!AL23+Jun!AL23+Jul!AL23+Aug!AL23+Sep!AL23+Oct!AL23+Nov!AL23+Dec!AL23)</f>
        <v>0</v>
      </c>
      <c r="N23" s="14">
        <f>IF($B23="","",N(F23)+N(J23)+N(L23)+N(M23))</f>
        <v>0</v>
      </c>
    </row>
    <row r="24" spans="2:14" x14ac:dyDescent="0.25">
      <c r="B24" s="5"/>
      <c r="C24" s="6"/>
      <c r="D24" s="7"/>
      <c r="E24" s="7"/>
      <c r="F24" s="8">
        <f>IF($B24="","",Jan!AI24+Feb!AI24+Mar!AI24+Apr!AI24+May!AI24+Jun!AI24+Jul!AI24+Aug!AI24+Sep!AI24+Oct!AI24+Nov!AI24+Dec!AI24)</f>
        <v>0</v>
      </c>
      <c r="G24" s="9">
        <f>IF($B24="","",N(D24)+N(E24)-N(F24))</f>
        <v>0</v>
      </c>
      <c r="H24" s="10">
        <f>IF(OR($B24="",N(D24)+N(E24)=0),"",MIN(1,N(F24)/(N(D24)+N(E24))))</f>
        <v>0</v>
      </c>
      <c r="I24" s="7"/>
      <c r="J24" s="11">
        <f>IF($B24="","",Jan!AJ24+Feb!AJ24+Mar!AJ24+Apr!AJ24+May!AJ24+Jun!AJ24+Jul!AJ24+Aug!AJ24+Sep!AJ24+Oct!AJ24+Nov!AJ24+Dec!AJ24)</f>
        <v>0</v>
      </c>
      <c r="K24" s="9">
        <f>IF(OR($B24="",I24=""),"",N(I24)-N(J24))</f>
        <v>0</v>
      </c>
      <c r="L24" s="12">
        <f>IF($B24="","",Jan!AK24+Feb!AK24+Mar!AK24+Apr!AK24+May!AK24+Jun!AK24+Jul!AK24+Aug!AK24+Sep!AK24+Oct!AK24+Nov!AK24+Dec!AK24)</f>
        <v>0</v>
      </c>
      <c r="M24" s="13">
        <f>IF($B24="","",Jan!AL24+Feb!AL24+Mar!AL24+Apr!AL24+May!AL24+Jun!AL24+Jul!AL24+Aug!AL24+Sep!AL24+Oct!AL24+Nov!AL24+Dec!AL24)</f>
        <v>0</v>
      </c>
      <c r="N24" s="14">
        <f>IF($B24="","",N(F24)+N(J24)+N(L24)+N(M24))</f>
        <v>0</v>
      </c>
    </row>
    <row r="25" spans="2:14" x14ac:dyDescent="0.25">
      <c r="B25" s="5"/>
      <c r="C25" s="6"/>
      <c r="D25" s="7"/>
      <c r="E25" s="7"/>
      <c r="F25" s="8">
        <f>IF($B25="","",Jan!AI25+Feb!AI25+Mar!AI25+Apr!AI25+May!AI25+Jun!AI25+Jul!AI25+Aug!AI25+Sep!AI25+Oct!AI25+Nov!AI25+Dec!AI25)</f>
        <v>0</v>
      </c>
      <c r="G25" s="9">
        <f>IF($B25="","",N(D25)+N(E25)-N(F25))</f>
        <v>0</v>
      </c>
      <c r="H25" s="10">
        <f>IF(OR($B25="",N(D25)+N(E25)=0),"",MIN(1,N(F25)/(N(D25)+N(E25))))</f>
        <v>0</v>
      </c>
      <c r="I25" s="7"/>
      <c r="J25" s="11">
        <f>IF($B25="","",Jan!AJ25+Feb!AJ25+Mar!AJ25+Apr!AJ25+May!AJ25+Jun!AJ25+Jul!AJ25+Aug!AJ25+Sep!AJ25+Oct!AJ25+Nov!AJ25+Dec!AJ25)</f>
        <v>0</v>
      </c>
      <c r="K25" s="9">
        <f>IF(OR($B25="",I25=""),"",N(I25)-N(J25))</f>
        <v>0</v>
      </c>
      <c r="L25" s="12">
        <f>IF($B25="","",Jan!AK25+Feb!AK25+Mar!AK25+Apr!AK25+May!AK25+Jun!AK25+Jul!AK25+Aug!AK25+Sep!AK25+Oct!AK25+Nov!AK25+Dec!AK25)</f>
        <v>0</v>
      </c>
      <c r="M25" s="13">
        <f>IF($B25="","",Jan!AL25+Feb!AL25+Mar!AL25+Apr!AL25+May!AL25+Jun!AL25+Jul!AL25+Aug!AL25+Sep!AL25+Oct!AL25+Nov!AL25+Dec!AL25)</f>
        <v>0</v>
      </c>
      <c r="N25" s="14">
        <f>IF($B25="","",N(F25)+N(J25)+N(L25)+N(M25))</f>
        <v>0</v>
      </c>
    </row>
    <row r="26" spans="2:14" x14ac:dyDescent="0.25">
      <c r="B26" s="5"/>
      <c r="C26" s="6"/>
      <c r="D26" s="7"/>
      <c r="E26" s="7"/>
      <c r="F26" s="8">
        <f>IF($B26="","",Jan!AI26+Feb!AI26+Mar!AI26+Apr!AI26+May!AI26+Jun!AI26+Jul!AI26+Aug!AI26+Sep!AI26+Oct!AI26+Nov!AI26+Dec!AI26)</f>
        <v>0</v>
      </c>
      <c r="G26" s="9">
        <f>IF($B26="","",N(D26)+N(E26)-N(F26))</f>
        <v>0</v>
      </c>
      <c r="H26" s="10">
        <f>IF(OR($B26="",N(D26)+N(E26)=0),"",MIN(1,N(F26)/(N(D26)+N(E26))))</f>
        <v>0</v>
      </c>
      <c r="I26" s="7"/>
      <c r="J26" s="11">
        <f>IF($B26="","",Jan!AJ26+Feb!AJ26+Mar!AJ26+Apr!AJ26+May!AJ26+Jun!AJ26+Jul!AJ26+Aug!AJ26+Sep!AJ26+Oct!AJ26+Nov!AJ26+Dec!AJ26)</f>
        <v>0</v>
      </c>
      <c r="K26" s="9">
        <f>IF(OR($B26="",I26=""),"",N(I26)-N(J26))</f>
        <v>0</v>
      </c>
      <c r="L26" s="12">
        <f>IF($B26="","",Jan!AK26+Feb!AK26+Mar!AK26+Apr!AK26+May!AK26+Jun!AK26+Jul!AK26+Aug!AK26+Sep!AK26+Oct!AK26+Nov!AK26+Dec!AK26)</f>
        <v>0</v>
      </c>
      <c r="M26" s="13">
        <f>IF($B26="","",Jan!AL26+Feb!AL26+Mar!AL26+Apr!AL26+May!AL26+Jun!AL26+Jul!AL26+Aug!AL26+Sep!AL26+Oct!AL26+Nov!AL26+Dec!AL26)</f>
        <v>0</v>
      </c>
      <c r="N26" s="14">
        <f>IF($B26="","",N(F26)+N(J26)+N(L26)+N(M26))</f>
        <v>0</v>
      </c>
    </row>
    <row r="27" spans="2:14" x14ac:dyDescent="0.25">
      <c r="B27" s="5"/>
      <c r="C27" s="6"/>
      <c r="D27" s="7"/>
      <c r="E27" s="7"/>
      <c r="F27" s="8">
        <f>IF($B27="","",Jan!AI27+Feb!AI27+Mar!AI27+Apr!AI27+May!AI27+Jun!AI27+Jul!AI27+Aug!AI27+Sep!AI27+Oct!AI27+Nov!AI27+Dec!AI27)</f>
        <v>0</v>
      </c>
      <c r="G27" s="9">
        <f>IF($B27="","",N(D27)+N(E27)-N(F27))</f>
        <v>0</v>
      </c>
      <c r="H27" s="10">
        <f>IF(OR($B27="",N(D27)+N(E27)=0),"",MIN(1,N(F27)/(N(D27)+N(E27))))</f>
        <v>0</v>
      </c>
      <c r="I27" s="7"/>
      <c r="J27" s="11">
        <f>IF($B27="","",Jan!AJ27+Feb!AJ27+Mar!AJ27+Apr!AJ27+May!AJ27+Jun!AJ27+Jul!AJ27+Aug!AJ27+Sep!AJ27+Oct!AJ27+Nov!AJ27+Dec!AJ27)</f>
        <v>0</v>
      </c>
      <c r="K27" s="9">
        <f>IF(OR($B27="",I27=""),"",N(I27)-N(J27))</f>
        <v>0</v>
      </c>
      <c r="L27" s="12">
        <f>IF($B27="","",Jan!AK27+Feb!AK27+Mar!AK27+Apr!AK27+May!AK27+Jun!AK27+Jul!AK27+Aug!AK27+Sep!AK27+Oct!AK27+Nov!AK27+Dec!AK27)</f>
        <v>0</v>
      </c>
      <c r="M27" s="13">
        <f>IF($B27="","",Jan!AL27+Feb!AL27+Mar!AL27+Apr!AL27+May!AL27+Jun!AL27+Jul!AL27+Aug!AL27+Sep!AL27+Oct!AL27+Nov!AL27+Dec!AL27)</f>
        <v>0</v>
      </c>
      <c r="N27" s="14">
        <f>IF($B27="","",N(F27)+N(J27)+N(L27)+N(M27))</f>
        <v>0</v>
      </c>
    </row>
    <row r="28" spans="2:14" x14ac:dyDescent="0.25">
      <c r="B28" s="5"/>
      <c r="C28" s="6"/>
      <c r="D28" s="7"/>
      <c r="E28" s="7"/>
      <c r="F28" s="8">
        <f>IF($B28="","",Jan!AI28+Feb!AI28+Mar!AI28+Apr!AI28+May!AI28+Jun!AI28+Jul!AI28+Aug!AI28+Sep!AI28+Oct!AI28+Nov!AI28+Dec!AI28)</f>
        <v>0</v>
      </c>
      <c r="G28" s="9">
        <f>IF($B28="","",N(D28)+N(E28)-N(F28))</f>
        <v>0</v>
      </c>
      <c r="H28" s="10">
        <f>IF(OR($B28="",N(D28)+N(E28)=0),"",MIN(1,N(F28)/(N(D28)+N(E28))))</f>
        <v>0</v>
      </c>
      <c r="I28" s="7"/>
      <c r="J28" s="11">
        <f>IF($B28="","",Jan!AJ28+Feb!AJ28+Mar!AJ28+Apr!AJ28+May!AJ28+Jun!AJ28+Jul!AJ28+Aug!AJ28+Sep!AJ28+Oct!AJ28+Nov!AJ28+Dec!AJ28)</f>
        <v>0</v>
      </c>
      <c r="K28" s="9">
        <f>IF(OR($B28="",I28=""),"",N(I28)-N(J28))</f>
        <v>0</v>
      </c>
      <c r="L28" s="12">
        <f>IF($B28="","",Jan!AK28+Feb!AK28+Mar!AK28+Apr!AK28+May!AK28+Jun!AK28+Jul!AK28+Aug!AK28+Sep!AK28+Oct!AK28+Nov!AK28+Dec!AK28)</f>
        <v>0</v>
      </c>
      <c r="M28" s="13">
        <f>IF($B28="","",Jan!AL28+Feb!AL28+Mar!AL28+Apr!AL28+May!AL28+Jun!AL28+Jul!AL28+Aug!AL28+Sep!AL28+Oct!AL28+Nov!AL28+Dec!AL28)</f>
        <v>0</v>
      </c>
      <c r="N28" s="14">
        <f>IF($B28="","",N(F28)+N(J28)+N(L28)+N(M28))</f>
        <v>0</v>
      </c>
    </row>
    <row r="29" spans="2:14" x14ac:dyDescent="0.25">
      <c r="B29" s="5"/>
      <c r="C29" s="6"/>
      <c r="D29" s="7"/>
      <c r="E29" s="7"/>
      <c r="F29" s="8">
        <f>IF($B29="","",Jan!AI29+Feb!AI29+Mar!AI29+Apr!AI29+May!AI29+Jun!AI29+Jul!AI29+Aug!AI29+Sep!AI29+Oct!AI29+Nov!AI29+Dec!AI29)</f>
        <v>0</v>
      </c>
      <c r="G29" s="9">
        <f>IF($B29="","",N(D29)+N(E29)-N(F29))</f>
        <v>0</v>
      </c>
      <c r="H29" s="10">
        <f>IF(OR($B29="",N(D29)+N(E29)=0),"",MIN(1,N(F29)/(N(D29)+N(E29))))</f>
        <v>0</v>
      </c>
      <c r="I29" s="7"/>
      <c r="J29" s="11">
        <f>IF($B29="","",Jan!AJ29+Feb!AJ29+Mar!AJ29+Apr!AJ29+May!AJ29+Jun!AJ29+Jul!AJ29+Aug!AJ29+Sep!AJ29+Oct!AJ29+Nov!AJ29+Dec!AJ29)</f>
        <v>0</v>
      </c>
      <c r="K29" s="9">
        <f>IF(OR($B29="",I29=""),"",N(I29)-N(J29))</f>
        <v>0</v>
      </c>
      <c r="L29" s="12">
        <f>IF($B29="","",Jan!AK29+Feb!AK29+Mar!AK29+Apr!AK29+May!AK29+Jun!AK29+Jul!AK29+Aug!AK29+Sep!AK29+Oct!AK29+Nov!AK29+Dec!AK29)</f>
        <v>0</v>
      </c>
      <c r="M29" s="13">
        <f>IF($B29="","",Jan!AL29+Feb!AL29+Mar!AL29+Apr!AL29+May!AL29+Jun!AL29+Jul!AL29+Aug!AL29+Sep!AL29+Oct!AL29+Nov!AL29+Dec!AL29)</f>
        <v>0</v>
      </c>
      <c r="N29" s="14">
        <f>IF($B29="","",N(F29)+N(J29)+N(L29)+N(M29))</f>
        <v>0</v>
      </c>
    </row>
    <row r="30" spans="2:14" x14ac:dyDescent="0.25">
      <c r="B30" s="5"/>
      <c r="C30" s="6"/>
      <c r="D30" s="7"/>
      <c r="E30" s="7"/>
      <c r="F30" s="8">
        <f>IF($B30="","",Jan!AI30+Feb!AI30+Mar!AI30+Apr!AI30+May!AI30+Jun!AI30+Jul!AI30+Aug!AI30+Sep!AI30+Oct!AI30+Nov!AI30+Dec!AI30)</f>
        <v>0</v>
      </c>
      <c r="G30" s="9">
        <f>IF($B30="","",N(D30)+N(E30)-N(F30))</f>
        <v>0</v>
      </c>
      <c r="H30" s="10">
        <f>IF(OR($B30="",N(D30)+N(E30)=0),"",MIN(1,N(F30)/(N(D30)+N(E30))))</f>
        <v>0</v>
      </c>
      <c r="I30" s="7"/>
      <c r="J30" s="11">
        <f>IF($B30="","",Jan!AJ30+Feb!AJ30+Mar!AJ30+Apr!AJ30+May!AJ30+Jun!AJ30+Jul!AJ30+Aug!AJ30+Sep!AJ30+Oct!AJ30+Nov!AJ30+Dec!AJ30)</f>
        <v>0</v>
      </c>
      <c r="K30" s="9">
        <f>IF(OR($B30="",I30=""),"",N(I30)-N(J30))</f>
        <v>0</v>
      </c>
      <c r="L30" s="12">
        <f>IF($B30="","",Jan!AK30+Feb!AK30+Mar!AK30+Apr!AK30+May!AK30+Jun!AK30+Jul!AK30+Aug!AK30+Sep!AK30+Oct!AK30+Nov!AK30+Dec!AK30)</f>
        <v>0</v>
      </c>
      <c r="M30" s="13">
        <f>IF($B30="","",Jan!AL30+Feb!AL30+Mar!AL30+Apr!AL30+May!AL30+Jun!AL30+Jul!AL30+Aug!AL30+Sep!AL30+Oct!AL30+Nov!AL30+Dec!AL30)</f>
        <v>0</v>
      </c>
      <c r="N30" s="14">
        <f>IF($B30="","",N(F30)+N(J30)+N(L30)+N(M30))</f>
        <v>0</v>
      </c>
    </row>
    <row r="31" spans="2:14" x14ac:dyDescent="0.25">
      <c r="B31" s="15" t="s">
        <v>87</v>
      </c>
      <c r="C31" s="16"/>
      <c r="D31" s="17">
        <f>SUM(D6:D30)</f>
        <v>0</v>
      </c>
      <c r="E31" s="17">
        <f>SUM(E6:E30)</f>
        <v>0</v>
      </c>
      <c r="F31" s="17">
        <f>SUM(F6:F30)</f>
        <v>0</v>
      </c>
      <c r="G31" s="17">
        <f>SUM(G6:G30)</f>
        <v>0</v>
      </c>
      <c r="H31" s="16"/>
      <c r="I31" s="17">
        <f>SUM(I6:I30)</f>
        <v>0</v>
      </c>
      <c r="J31" s="17">
        <f>SUM(J6:J30)</f>
        <v>0</v>
      </c>
      <c r="K31" s="17">
        <f>SUM(K6:K30)</f>
        <v>0</v>
      </c>
      <c r="L31" s="17">
        <f>SUM(L6:L30)</f>
        <v>0</v>
      </c>
      <c r="M31" s="17">
        <f>SUM(M6:M30)</f>
        <v>0</v>
      </c>
      <c r="N31" s="17">
        <f>SUM(N6:N30)</f>
        <v>0</v>
      </c>
    </row>
  </sheetData>
  <mergeCells count="2">
    <mergeCell ref="B2:G2"/>
    <mergeCell ref="B3:J3"/>
  </mergeCells>
  <conditionalFormatting sqref="H6:H30">
    <cfRule type="dataBar" priority="1">
      <dataBar>
        <cfvo type="num" val="0"/>
        <cfvo type="num" val="1"/>
        <color rgb="FFBFD0FA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rintOptions horizontalCentered="1"/>
  <pageMargins left="0.4" right="0.4" top="0.4" bottom="0.4" header="0.3" footer="0.3"/>
  <pageSetup orientation="landscape"/>
  <headerFooter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BFD0FA"/>
              <x14:negativeFillColor rgb="FFFF0000"/>
              <x14:negativeBorderColor rgb="FFFF0000"/>
              <x14:axisColor rgb="FF000000"/>
            </x14:dataBar>
          </x14:cfRule>
          <xm:sqref>H6:H30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2:AM33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/>
    </sheetView>
  </sheetViews>
  <sheetFormatPr defaultRowHeight="15"/>
  <cols>
    <col min="1" max="1" width="1.7109375" customWidth="1"/>
    <col min="2" max="2" width="18.7109375" customWidth="1"/>
    <col min="3" max="33" width="3.85546875" customWidth="1"/>
    <col min="34" max="34" width="1.7109375" customWidth="1"/>
    <col min="35" max="38" width="5.7109375" customWidth="1"/>
    <col min="39" max="39" width="6.28515625" customWidth="1"/>
  </cols>
  <sheetData>
    <row r="2" spans="2:39" ht="34" customHeight="1">
      <c r="B2" s="1" t="s">
        <v>88</v>
      </c>
      <c r="C2" s="1"/>
      <c r="D2" s="1"/>
      <c r="E2" s="1"/>
      <c r="F2" s="1"/>
      <c r="G2" s="1"/>
      <c r="H2" s="1"/>
      <c r="I2" s="1"/>
      <c r="J2" s="18">
        <f>CalYear</f>
        <v>0</v>
      </c>
      <c r="K2" s="18"/>
      <c r="L2" s="18"/>
      <c r="M2" s="18"/>
      <c r="N2" s="18"/>
      <c r="P2" s="19">
        <f>"Codes: "&amp;Setup!B9&amp;" "&amp;Setup!C9&amp;" · "&amp;Setup!B10&amp;" "&amp;Setup!C10&amp;" · "&amp;Setup!B11&amp;" "&amp;Setup!C11&amp;" · "&amp;Setup!B13&amp;" "&amp;Setup!C13&amp;" · "&amp;Setup!B15&amp;" "&amp;Setup!C15&amp;"   (full list on Setup)"</f>
        <v>0</v>
      </c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</row>
    <row r="4" spans="2:39" ht="14" customHeight="1">
      <c r="B4" s="20"/>
      <c r="C4" s="21">
        <f>IF(MONTH(DATE(CalYear,1,1))=1,CHOOSE(WEEKDAY(DATE(CalYear,1,1)),"S","M","T","W","T","F","S"),"")</f>
        <v>0</v>
      </c>
      <c r="D4" s="21">
        <f>IF(MONTH(DATE(CalYear,1,2))=1,CHOOSE(WEEKDAY(DATE(CalYear,1,2)),"S","M","T","W","T","F","S"),"")</f>
        <v>0</v>
      </c>
      <c r="E4" s="21">
        <f>IF(MONTH(DATE(CalYear,1,3))=1,CHOOSE(WEEKDAY(DATE(CalYear,1,3)),"S","M","T","W","T","F","S"),"")</f>
        <v>0</v>
      </c>
      <c r="F4" s="21">
        <f>IF(MONTH(DATE(CalYear,1,4))=1,CHOOSE(WEEKDAY(DATE(CalYear,1,4)),"S","M","T","W","T","F","S"),"")</f>
        <v>0</v>
      </c>
      <c r="G4" s="21">
        <f>IF(MONTH(DATE(CalYear,1,5))=1,CHOOSE(WEEKDAY(DATE(CalYear,1,5)),"S","M","T","W","T","F","S"),"")</f>
        <v>0</v>
      </c>
      <c r="H4" s="21">
        <f>IF(MONTH(DATE(CalYear,1,6))=1,CHOOSE(WEEKDAY(DATE(CalYear,1,6)),"S","M","T","W","T","F","S"),"")</f>
        <v>0</v>
      </c>
      <c r="I4" s="21">
        <f>IF(MONTH(DATE(CalYear,1,7))=1,CHOOSE(WEEKDAY(DATE(CalYear,1,7)),"S","M","T","W","T","F","S"),"")</f>
        <v>0</v>
      </c>
      <c r="J4" s="21">
        <f>IF(MONTH(DATE(CalYear,1,8))=1,CHOOSE(WEEKDAY(DATE(CalYear,1,8)),"S","M","T","W","T","F","S"),"")</f>
        <v>0</v>
      </c>
      <c r="K4" s="21">
        <f>IF(MONTH(DATE(CalYear,1,9))=1,CHOOSE(WEEKDAY(DATE(CalYear,1,9)),"S","M","T","W","T","F","S"),"")</f>
        <v>0</v>
      </c>
      <c r="L4" s="21">
        <f>IF(MONTH(DATE(CalYear,1,10))=1,CHOOSE(WEEKDAY(DATE(CalYear,1,10)),"S","M","T","W","T","F","S"),"")</f>
        <v>0</v>
      </c>
      <c r="M4" s="21">
        <f>IF(MONTH(DATE(CalYear,1,11))=1,CHOOSE(WEEKDAY(DATE(CalYear,1,11)),"S","M","T","W","T","F","S"),"")</f>
        <v>0</v>
      </c>
      <c r="N4" s="21">
        <f>IF(MONTH(DATE(CalYear,1,12))=1,CHOOSE(WEEKDAY(DATE(CalYear,1,12)),"S","M","T","W","T","F","S"),"")</f>
        <v>0</v>
      </c>
      <c r="O4" s="21">
        <f>IF(MONTH(DATE(CalYear,1,13))=1,CHOOSE(WEEKDAY(DATE(CalYear,1,13)),"S","M","T","W","T","F","S"),"")</f>
        <v>0</v>
      </c>
      <c r="P4" s="21">
        <f>IF(MONTH(DATE(CalYear,1,14))=1,CHOOSE(WEEKDAY(DATE(CalYear,1,14)),"S","M","T","W","T","F","S"),"")</f>
        <v>0</v>
      </c>
      <c r="Q4" s="21">
        <f>IF(MONTH(DATE(CalYear,1,15))=1,CHOOSE(WEEKDAY(DATE(CalYear,1,15)),"S","M","T","W","T","F","S"),"")</f>
        <v>0</v>
      </c>
      <c r="R4" s="21">
        <f>IF(MONTH(DATE(CalYear,1,16))=1,CHOOSE(WEEKDAY(DATE(CalYear,1,16)),"S","M","T","W","T","F","S"),"")</f>
        <v>0</v>
      </c>
      <c r="S4" s="21">
        <f>IF(MONTH(DATE(CalYear,1,17))=1,CHOOSE(WEEKDAY(DATE(CalYear,1,17)),"S","M","T","W","T","F","S"),"")</f>
        <v>0</v>
      </c>
      <c r="T4" s="21">
        <f>IF(MONTH(DATE(CalYear,1,18))=1,CHOOSE(WEEKDAY(DATE(CalYear,1,18)),"S","M","T","W","T","F","S"),"")</f>
        <v>0</v>
      </c>
      <c r="U4" s="21">
        <f>IF(MONTH(DATE(CalYear,1,19))=1,CHOOSE(WEEKDAY(DATE(CalYear,1,19)),"S","M","T","W","T","F","S"),"")</f>
        <v>0</v>
      </c>
      <c r="V4" s="21">
        <f>IF(MONTH(DATE(CalYear,1,20))=1,CHOOSE(WEEKDAY(DATE(CalYear,1,20)),"S","M","T","W","T","F","S"),"")</f>
        <v>0</v>
      </c>
      <c r="W4" s="21">
        <f>IF(MONTH(DATE(CalYear,1,21))=1,CHOOSE(WEEKDAY(DATE(CalYear,1,21)),"S","M","T","W","T","F","S"),"")</f>
        <v>0</v>
      </c>
      <c r="X4" s="21">
        <f>IF(MONTH(DATE(CalYear,1,22))=1,CHOOSE(WEEKDAY(DATE(CalYear,1,22)),"S","M","T","W","T","F","S"),"")</f>
        <v>0</v>
      </c>
      <c r="Y4" s="21">
        <f>IF(MONTH(DATE(CalYear,1,23))=1,CHOOSE(WEEKDAY(DATE(CalYear,1,23)),"S","M","T","W","T","F","S"),"")</f>
        <v>0</v>
      </c>
      <c r="Z4" s="21">
        <f>IF(MONTH(DATE(CalYear,1,24))=1,CHOOSE(WEEKDAY(DATE(CalYear,1,24)),"S","M","T","W","T","F","S"),"")</f>
        <v>0</v>
      </c>
      <c r="AA4" s="21">
        <f>IF(MONTH(DATE(CalYear,1,25))=1,CHOOSE(WEEKDAY(DATE(CalYear,1,25)),"S","M","T","W","T","F","S"),"")</f>
        <v>0</v>
      </c>
      <c r="AB4" s="21">
        <f>IF(MONTH(DATE(CalYear,1,26))=1,CHOOSE(WEEKDAY(DATE(CalYear,1,26)),"S","M","T","W","T","F","S"),"")</f>
        <v>0</v>
      </c>
      <c r="AC4" s="21">
        <f>IF(MONTH(DATE(CalYear,1,27))=1,CHOOSE(WEEKDAY(DATE(CalYear,1,27)),"S","M","T","W","T","F","S"),"")</f>
        <v>0</v>
      </c>
      <c r="AD4" s="21">
        <f>IF(MONTH(DATE(CalYear,1,28))=1,CHOOSE(WEEKDAY(DATE(CalYear,1,28)),"S","M","T","W","T","F","S"),"")</f>
        <v>0</v>
      </c>
      <c r="AE4" s="21">
        <f>IF(MONTH(DATE(CalYear,1,29))=1,CHOOSE(WEEKDAY(DATE(CalYear,1,29)),"S","M","T","W","T","F","S"),"")</f>
        <v>0</v>
      </c>
      <c r="AF4" s="21">
        <f>IF(MONTH(DATE(CalYear,1,30))=1,CHOOSE(WEEKDAY(DATE(CalYear,1,30)),"S","M","T","W","T","F","S"),"")</f>
        <v>0</v>
      </c>
      <c r="AG4" s="21">
        <f>IF(MONTH(DATE(CalYear,1,31))=1,CHOOSE(WEEKDAY(DATE(CalYear,1,31)),"S","M","T","W","T","F","S"),"")</f>
        <v>0</v>
      </c>
      <c r="AI4" s="22" t="s">
        <v>89</v>
      </c>
      <c r="AJ4" s="23" t="s">
        <v>90</v>
      </c>
      <c r="AK4" s="24" t="s">
        <v>91</v>
      </c>
      <c r="AL4" s="25" t="s">
        <v>92</v>
      </c>
      <c r="AM4" s="26" t="s">
        <v>93</v>
      </c>
    </row>
    <row r="5" spans="2:39" ht="18" customHeight="1">
      <c r="B5" s="27" t="s">
        <v>68</v>
      </c>
      <c r="C5" s="28">
        <f>IF(MONTH(DATE(CalYear,1,1))=1,1,"")</f>
        <v>0</v>
      </c>
      <c r="D5" s="28">
        <f>IF(MONTH(DATE(CalYear,1,2))=1,2,"")</f>
        <v>0</v>
      </c>
      <c r="E5" s="28">
        <f>IF(MONTH(DATE(CalYear,1,3))=1,3,"")</f>
        <v>0</v>
      </c>
      <c r="F5" s="28">
        <f>IF(MONTH(DATE(CalYear,1,4))=1,4,"")</f>
        <v>0</v>
      </c>
      <c r="G5" s="28">
        <f>IF(MONTH(DATE(CalYear,1,5))=1,5,"")</f>
        <v>0</v>
      </c>
      <c r="H5" s="28">
        <f>IF(MONTH(DATE(CalYear,1,6))=1,6,"")</f>
        <v>0</v>
      </c>
      <c r="I5" s="28">
        <f>IF(MONTH(DATE(CalYear,1,7))=1,7,"")</f>
        <v>0</v>
      </c>
      <c r="J5" s="28">
        <f>IF(MONTH(DATE(CalYear,1,8))=1,8,"")</f>
        <v>0</v>
      </c>
      <c r="K5" s="28">
        <f>IF(MONTH(DATE(CalYear,1,9))=1,9,"")</f>
        <v>0</v>
      </c>
      <c r="L5" s="28">
        <f>IF(MONTH(DATE(CalYear,1,10))=1,10,"")</f>
        <v>0</v>
      </c>
      <c r="M5" s="28">
        <f>IF(MONTH(DATE(CalYear,1,11))=1,11,"")</f>
        <v>0</v>
      </c>
      <c r="N5" s="28">
        <f>IF(MONTH(DATE(CalYear,1,12))=1,12,"")</f>
        <v>0</v>
      </c>
      <c r="O5" s="28">
        <f>IF(MONTH(DATE(CalYear,1,13))=1,13,"")</f>
        <v>0</v>
      </c>
      <c r="P5" s="28">
        <f>IF(MONTH(DATE(CalYear,1,14))=1,14,"")</f>
        <v>0</v>
      </c>
      <c r="Q5" s="28">
        <f>IF(MONTH(DATE(CalYear,1,15))=1,15,"")</f>
        <v>0</v>
      </c>
      <c r="R5" s="28">
        <f>IF(MONTH(DATE(CalYear,1,16))=1,16,"")</f>
        <v>0</v>
      </c>
      <c r="S5" s="28">
        <f>IF(MONTH(DATE(CalYear,1,17))=1,17,"")</f>
        <v>0</v>
      </c>
      <c r="T5" s="28">
        <f>IF(MONTH(DATE(CalYear,1,18))=1,18,"")</f>
        <v>0</v>
      </c>
      <c r="U5" s="28">
        <f>IF(MONTH(DATE(CalYear,1,19))=1,19,"")</f>
        <v>0</v>
      </c>
      <c r="V5" s="28">
        <f>IF(MONTH(DATE(CalYear,1,20))=1,20,"")</f>
        <v>0</v>
      </c>
      <c r="W5" s="28">
        <f>IF(MONTH(DATE(CalYear,1,21))=1,21,"")</f>
        <v>0</v>
      </c>
      <c r="X5" s="28">
        <f>IF(MONTH(DATE(CalYear,1,22))=1,22,"")</f>
        <v>0</v>
      </c>
      <c r="Y5" s="28">
        <f>IF(MONTH(DATE(CalYear,1,23))=1,23,"")</f>
        <v>0</v>
      </c>
      <c r="Z5" s="28">
        <f>IF(MONTH(DATE(CalYear,1,24))=1,24,"")</f>
        <v>0</v>
      </c>
      <c r="AA5" s="28">
        <f>IF(MONTH(DATE(CalYear,1,25))=1,25,"")</f>
        <v>0</v>
      </c>
      <c r="AB5" s="28">
        <f>IF(MONTH(DATE(CalYear,1,26))=1,26,"")</f>
        <v>0</v>
      </c>
      <c r="AC5" s="28">
        <f>IF(MONTH(DATE(CalYear,1,27))=1,27,"")</f>
        <v>0</v>
      </c>
      <c r="AD5" s="28">
        <f>IF(MONTH(DATE(CalYear,1,28))=1,28,"")</f>
        <v>0</v>
      </c>
      <c r="AE5" s="28">
        <f>IF(MONTH(DATE(CalYear,1,29))=1,29,"")</f>
        <v>0</v>
      </c>
      <c r="AF5" s="28">
        <f>IF(MONTH(DATE(CalYear,1,30))=1,30,"")</f>
        <v>0</v>
      </c>
      <c r="AG5" s="28">
        <f>IF(MONTH(DATE(CalYear,1,31))=1,31,"")</f>
        <v>0</v>
      </c>
      <c r="AI5" s="22"/>
      <c r="AJ5" s="23"/>
      <c r="AK5" s="24"/>
      <c r="AL5" s="25"/>
      <c r="AM5" s="26"/>
    </row>
    <row r="6" spans="2:39" ht="17" customHeight="1">
      <c r="B6" s="29">
        <f>IF(Summary!B6="","",Summary!B6)</f>
        <v>0</v>
      </c>
      <c r="C6" s="30"/>
      <c r="D6" s="30"/>
      <c r="E6" s="30"/>
      <c r="F6" s="30" t="s">
        <v>7</v>
      </c>
      <c r="G6" s="30" t="s">
        <v>7</v>
      </c>
      <c r="H6" s="30" t="s">
        <v>7</v>
      </c>
      <c r="I6" s="30" t="s">
        <v>7</v>
      </c>
      <c r="J6" s="30" t="s">
        <v>7</v>
      </c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 t="s">
        <v>26</v>
      </c>
      <c r="AD6" s="30"/>
      <c r="AE6" s="30"/>
      <c r="AF6" s="30"/>
      <c r="AG6" s="30"/>
      <c r="AI6" s="31">
        <f>SUMPRODUCT(COUNTIF(C6:AG6,Codes)*(Codes&lt;&gt;"")*(CodeBucket="Vacation")*CodeDays)</f>
        <v>0</v>
      </c>
      <c r="AJ6" s="32">
        <f>SUMPRODUCT(COUNTIF(C6:AG6,Codes)*(Codes&lt;&gt;"")*(CodeBucket="Sick")*CodeDays)</f>
        <v>0</v>
      </c>
      <c r="AK6" s="33">
        <f>SUMPRODUCT(COUNTIF(C6:AG6,Codes)*(Codes&lt;&gt;"")*(CodeBucket="Personal")*CodeDays)</f>
        <v>0</v>
      </c>
      <c r="AL6" s="34">
        <f>SUMPRODUCT(COUNTIF(C6:AG6,Codes)*(Codes&lt;&gt;"")*(CodeBucket="Other")*CodeDays)</f>
        <v>0</v>
      </c>
      <c r="AM6" s="35">
        <f>SUM(AI6:AL6)</f>
        <v>0</v>
      </c>
    </row>
    <row r="7" spans="2:39" ht="17" customHeight="1">
      <c r="B7" s="29">
        <f>IF(Summary!B7="","",Summary!B7)</f>
        <v>0</v>
      </c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 t="s">
        <v>11</v>
      </c>
      <c r="P7" s="30" t="s">
        <v>13</v>
      </c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  <c r="AB7" s="30"/>
      <c r="AC7" s="30"/>
      <c r="AD7" s="30"/>
      <c r="AE7" s="30"/>
      <c r="AF7" s="30"/>
      <c r="AG7" s="30"/>
      <c r="AI7" s="31">
        <f>SUMPRODUCT(COUNTIF(C7:AG7,Codes)*(Codes&lt;&gt;"")*(CodeBucket="Vacation")*CodeDays)</f>
        <v>0</v>
      </c>
      <c r="AJ7" s="32">
        <f>SUMPRODUCT(COUNTIF(C7:AG7,Codes)*(Codes&lt;&gt;"")*(CodeBucket="Sick")*CodeDays)</f>
        <v>0</v>
      </c>
      <c r="AK7" s="33">
        <f>SUMPRODUCT(COUNTIF(C7:AG7,Codes)*(Codes&lt;&gt;"")*(CodeBucket="Personal")*CodeDays)</f>
        <v>0</v>
      </c>
      <c r="AL7" s="34">
        <f>SUMPRODUCT(COUNTIF(C7:AG7,Codes)*(Codes&lt;&gt;"")*(CodeBucket="Other")*CodeDays)</f>
        <v>0</v>
      </c>
      <c r="AM7" s="35">
        <f>SUM(AI7:AL7)</f>
        <v>0</v>
      </c>
    </row>
    <row r="8" spans="2:39" ht="17" customHeight="1">
      <c r="B8" s="29">
        <f>IF(Summary!B8="","",Summary!B8)</f>
        <v>0</v>
      </c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 t="s">
        <v>15</v>
      </c>
      <c r="Y8" s="30"/>
      <c r="Z8" s="30"/>
      <c r="AA8" s="30"/>
      <c r="AB8" s="30"/>
      <c r="AC8" s="30"/>
      <c r="AD8" s="30"/>
      <c r="AE8" s="30" t="s">
        <v>9</v>
      </c>
      <c r="AF8" s="30"/>
      <c r="AG8" s="30"/>
      <c r="AI8" s="31">
        <f>SUMPRODUCT(COUNTIF(C8:AG8,Codes)*(Codes&lt;&gt;"")*(CodeBucket="Vacation")*CodeDays)</f>
        <v>0</v>
      </c>
      <c r="AJ8" s="32">
        <f>SUMPRODUCT(COUNTIF(C8:AG8,Codes)*(Codes&lt;&gt;"")*(CodeBucket="Sick")*CodeDays)</f>
        <v>0</v>
      </c>
      <c r="AK8" s="33">
        <f>SUMPRODUCT(COUNTIF(C8:AG8,Codes)*(Codes&lt;&gt;"")*(CodeBucket="Personal")*CodeDays)</f>
        <v>0</v>
      </c>
      <c r="AL8" s="34">
        <f>SUMPRODUCT(COUNTIF(C8:AG8,Codes)*(Codes&lt;&gt;"")*(CodeBucket="Other")*CodeDays)</f>
        <v>0</v>
      </c>
      <c r="AM8" s="35">
        <f>SUM(AI8:AL8)</f>
        <v>0</v>
      </c>
    </row>
    <row r="9" spans="2:39" ht="17" customHeight="1">
      <c r="B9" s="29">
        <f>IF(Summary!B9="","",Summary!B9)</f>
        <v>0</v>
      </c>
      <c r="C9" s="30"/>
      <c r="D9" s="30"/>
      <c r="E9" s="30"/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  <c r="AB9" s="30"/>
      <c r="AC9" s="30"/>
      <c r="AD9" s="30"/>
      <c r="AE9" s="30"/>
      <c r="AF9" s="30"/>
      <c r="AG9" s="30"/>
      <c r="AI9" s="31">
        <f>SUMPRODUCT(COUNTIF(C9:AG9,Codes)*(Codes&lt;&gt;"")*(CodeBucket="Vacation")*CodeDays)</f>
        <v>0</v>
      </c>
      <c r="AJ9" s="32">
        <f>SUMPRODUCT(COUNTIF(C9:AG9,Codes)*(Codes&lt;&gt;"")*(CodeBucket="Sick")*CodeDays)</f>
        <v>0</v>
      </c>
      <c r="AK9" s="33">
        <f>SUMPRODUCT(COUNTIF(C9:AG9,Codes)*(Codes&lt;&gt;"")*(CodeBucket="Personal")*CodeDays)</f>
        <v>0</v>
      </c>
      <c r="AL9" s="34">
        <f>SUMPRODUCT(COUNTIF(C9:AG9,Codes)*(Codes&lt;&gt;"")*(CodeBucket="Other")*CodeDays)</f>
        <v>0</v>
      </c>
      <c r="AM9" s="35">
        <f>SUM(AI9:AL9)</f>
        <v>0</v>
      </c>
    </row>
    <row r="10" spans="2:39" ht="17" customHeight="1">
      <c r="B10" s="29">
        <f>IF(Summary!B10="","",Summary!B10)</f>
        <v>0</v>
      </c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  <c r="AA10" s="30"/>
      <c r="AB10" s="30"/>
      <c r="AC10" s="30"/>
      <c r="AD10" s="30"/>
      <c r="AE10" s="30"/>
      <c r="AF10" s="30"/>
      <c r="AG10" s="30"/>
      <c r="AI10" s="31">
        <f>SUMPRODUCT(COUNTIF(C10:AG10,Codes)*(Codes&lt;&gt;"")*(CodeBucket="Vacation")*CodeDays)</f>
        <v>0</v>
      </c>
      <c r="AJ10" s="32">
        <f>SUMPRODUCT(COUNTIF(C10:AG10,Codes)*(Codes&lt;&gt;"")*(CodeBucket="Sick")*CodeDays)</f>
        <v>0</v>
      </c>
      <c r="AK10" s="33">
        <f>SUMPRODUCT(COUNTIF(C10:AG10,Codes)*(Codes&lt;&gt;"")*(CodeBucket="Personal")*CodeDays)</f>
        <v>0</v>
      </c>
      <c r="AL10" s="34">
        <f>SUMPRODUCT(COUNTIF(C10:AG10,Codes)*(Codes&lt;&gt;"")*(CodeBucket="Other")*CodeDays)</f>
        <v>0</v>
      </c>
      <c r="AM10" s="35">
        <f>SUM(AI10:AL10)</f>
        <v>0</v>
      </c>
    </row>
    <row r="11" spans="2:39" ht="17" customHeight="1">
      <c r="B11" s="29">
        <f>IF(Summary!B11="","",Summary!B11)</f>
        <v>0</v>
      </c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  <c r="AA11" s="30"/>
      <c r="AB11" s="30"/>
      <c r="AC11" s="30"/>
      <c r="AD11" s="30"/>
      <c r="AE11" s="30"/>
      <c r="AF11" s="30"/>
      <c r="AG11" s="30"/>
      <c r="AI11" s="31">
        <f>SUMPRODUCT(COUNTIF(C11:AG11,Codes)*(Codes&lt;&gt;"")*(CodeBucket="Vacation")*CodeDays)</f>
        <v>0</v>
      </c>
      <c r="AJ11" s="32">
        <f>SUMPRODUCT(COUNTIF(C11:AG11,Codes)*(Codes&lt;&gt;"")*(CodeBucket="Sick")*CodeDays)</f>
        <v>0</v>
      </c>
      <c r="AK11" s="33">
        <f>SUMPRODUCT(COUNTIF(C11:AG11,Codes)*(Codes&lt;&gt;"")*(CodeBucket="Personal")*CodeDays)</f>
        <v>0</v>
      </c>
      <c r="AL11" s="34">
        <f>SUMPRODUCT(COUNTIF(C11:AG11,Codes)*(Codes&lt;&gt;"")*(CodeBucket="Other")*CodeDays)</f>
        <v>0</v>
      </c>
      <c r="AM11" s="35">
        <f>SUM(AI11:AL11)</f>
        <v>0</v>
      </c>
    </row>
    <row r="12" spans="2:39" ht="17" customHeight="1">
      <c r="B12" s="29">
        <f>IF(Summary!B12="","",Summary!B12)</f>
        <v>0</v>
      </c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0"/>
      <c r="S12" s="30"/>
      <c r="T12" s="30"/>
      <c r="U12" s="30"/>
      <c r="V12" s="30"/>
      <c r="W12" s="30"/>
      <c r="X12" s="30"/>
      <c r="Y12" s="30"/>
      <c r="Z12" s="30"/>
      <c r="AA12" s="30"/>
      <c r="AB12" s="30"/>
      <c r="AC12" s="30"/>
      <c r="AD12" s="30"/>
      <c r="AE12" s="30"/>
      <c r="AF12" s="30"/>
      <c r="AG12" s="30"/>
      <c r="AI12" s="31">
        <f>SUMPRODUCT(COUNTIF(C12:AG12,Codes)*(Codes&lt;&gt;"")*(CodeBucket="Vacation")*CodeDays)</f>
        <v>0</v>
      </c>
      <c r="AJ12" s="32">
        <f>SUMPRODUCT(COUNTIF(C12:AG12,Codes)*(Codes&lt;&gt;"")*(CodeBucket="Sick")*CodeDays)</f>
        <v>0</v>
      </c>
      <c r="AK12" s="33">
        <f>SUMPRODUCT(COUNTIF(C12:AG12,Codes)*(Codes&lt;&gt;"")*(CodeBucket="Personal")*CodeDays)</f>
        <v>0</v>
      </c>
      <c r="AL12" s="34">
        <f>SUMPRODUCT(COUNTIF(C12:AG12,Codes)*(Codes&lt;&gt;"")*(CodeBucket="Other")*CodeDays)</f>
        <v>0</v>
      </c>
      <c r="AM12" s="35">
        <f>SUM(AI12:AL12)</f>
        <v>0</v>
      </c>
    </row>
    <row r="13" spans="2:39" ht="17" customHeight="1">
      <c r="B13" s="29">
        <f>IF(Summary!B13="","",Summary!B13)</f>
        <v>0</v>
      </c>
      <c r="C13" s="30"/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30"/>
      <c r="T13" s="30"/>
      <c r="U13" s="30"/>
      <c r="V13" s="30"/>
      <c r="W13" s="30"/>
      <c r="X13" s="30"/>
      <c r="Y13" s="30"/>
      <c r="Z13" s="30"/>
      <c r="AA13" s="30"/>
      <c r="AB13" s="30"/>
      <c r="AC13" s="30"/>
      <c r="AD13" s="30"/>
      <c r="AE13" s="30"/>
      <c r="AF13" s="30"/>
      <c r="AG13" s="30"/>
      <c r="AI13" s="31">
        <f>SUMPRODUCT(COUNTIF(C13:AG13,Codes)*(Codes&lt;&gt;"")*(CodeBucket="Vacation")*CodeDays)</f>
        <v>0</v>
      </c>
      <c r="AJ13" s="32">
        <f>SUMPRODUCT(COUNTIF(C13:AG13,Codes)*(Codes&lt;&gt;"")*(CodeBucket="Sick")*CodeDays)</f>
        <v>0</v>
      </c>
      <c r="AK13" s="33">
        <f>SUMPRODUCT(COUNTIF(C13:AG13,Codes)*(Codes&lt;&gt;"")*(CodeBucket="Personal")*CodeDays)</f>
        <v>0</v>
      </c>
      <c r="AL13" s="34">
        <f>SUMPRODUCT(COUNTIF(C13:AG13,Codes)*(Codes&lt;&gt;"")*(CodeBucket="Other")*CodeDays)</f>
        <v>0</v>
      </c>
      <c r="AM13" s="35">
        <f>SUM(AI13:AL13)</f>
        <v>0</v>
      </c>
    </row>
    <row r="14" spans="2:39" ht="17" customHeight="1">
      <c r="B14" s="29">
        <f>IF(Summary!B14="","",Summary!B14)</f>
        <v>0</v>
      </c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30"/>
      <c r="U14" s="30"/>
      <c r="V14" s="30"/>
      <c r="W14" s="30"/>
      <c r="X14" s="30"/>
      <c r="Y14" s="30"/>
      <c r="Z14" s="30"/>
      <c r="AA14" s="30"/>
      <c r="AB14" s="30"/>
      <c r="AC14" s="30"/>
      <c r="AD14" s="30"/>
      <c r="AE14" s="30"/>
      <c r="AF14" s="30"/>
      <c r="AG14" s="30"/>
      <c r="AI14" s="31">
        <f>SUMPRODUCT(COUNTIF(C14:AG14,Codes)*(Codes&lt;&gt;"")*(CodeBucket="Vacation")*CodeDays)</f>
        <v>0</v>
      </c>
      <c r="AJ14" s="32">
        <f>SUMPRODUCT(COUNTIF(C14:AG14,Codes)*(Codes&lt;&gt;"")*(CodeBucket="Sick")*CodeDays)</f>
        <v>0</v>
      </c>
      <c r="AK14" s="33">
        <f>SUMPRODUCT(COUNTIF(C14:AG14,Codes)*(Codes&lt;&gt;"")*(CodeBucket="Personal")*CodeDays)</f>
        <v>0</v>
      </c>
      <c r="AL14" s="34">
        <f>SUMPRODUCT(COUNTIF(C14:AG14,Codes)*(Codes&lt;&gt;"")*(CodeBucket="Other")*CodeDays)</f>
        <v>0</v>
      </c>
      <c r="AM14" s="35">
        <f>SUM(AI14:AL14)</f>
        <v>0</v>
      </c>
    </row>
    <row r="15" spans="2:39" ht="17" customHeight="1">
      <c r="B15" s="29">
        <f>IF(Summary!B15="","",Summary!B15)</f>
        <v>0</v>
      </c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0"/>
      <c r="AA15" s="30"/>
      <c r="AB15" s="30"/>
      <c r="AC15" s="30"/>
      <c r="AD15" s="30"/>
      <c r="AE15" s="30"/>
      <c r="AF15" s="30"/>
      <c r="AG15" s="30"/>
      <c r="AI15" s="31">
        <f>SUMPRODUCT(COUNTIF(C15:AG15,Codes)*(Codes&lt;&gt;"")*(CodeBucket="Vacation")*CodeDays)</f>
        <v>0</v>
      </c>
      <c r="AJ15" s="32">
        <f>SUMPRODUCT(COUNTIF(C15:AG15,Codes)*(Codes&lt;&gt;"")*(CodeBucket="Sick")*CodeDays)</f>
        <v>0</v>
      </c>
      <c r="AK15" s="33">
        <f>SUMPRODUCT(COUNTIF(C15:AG15,Codes)*(Codes&lt;&gt;"")*(CodeBucket="Personal")*CodeDays)</f>
        <v>0</v>
      </c>
      <c r="AL15" s="34">
        <f>SUMPRODUCT(COUNTIF(C15:AG15,Codes)*(Codes&lt;&gt;"")*(CodeBucket="Other")*CodeDays)</f>
        <v>0</v>
      </c>
      <c r="AM15" s="35">
        <f>SUM(AI15:AL15)</f>
        <v>0</v>
      </c>
    </row>
    <row r="16" spans="2:39" ht="17" customHeight="1">
      <c r="B16" s="29">
        <f>IF(Summary!B16="","",Summary!B16)</f>
        <v>0</v>
      </c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0"/>
      <c r="R16" s="30"/>
      <c r="S16" s="30"/>
      <c r="T16" s="30"/>
      <c r="U16" s="30"/>
      <c r="V16" s="30"/>
      <c r="W16" s="30"/>
      <c r="X16" s="30"/>
      <c r="Y16" s="30"/>
      <c r="Z16" s="30"/>
      <c r="AA16" s="30"/>
      <c r="AB16" s="30"/>
      <c r="AC16" s="30"/>
      <c r="AD16" s="30"/>
      <c r="AE16" s="30"/>
      <c r="AF16" s="30"/>
      <c r="AG16" s="30"/>
      <c r="AI16" s="31">
        <f>SUMPRODUCT(COUNTIF(C16:AG16,Codes)*(Codes&lt;&gt;"")*(CodeBucket="Vacation")*CodeDays)</f>
        <v>0</v>
      </c>
      <c r="AJ16" s="32">
        <f>SUMPRODUCT(COUNTIF(C16:AG16,Codes)*(Codes&lt;&gt;"")*(CodeBucket="Sick")*CodeDays)</f>
        <v>0</v>
      </c>
      <c r="AK16" s="33">
        <f>SUMPRODUCT(COUNTIF(C16:AG16,Codes)*(Codes&lt;&gt;"")*(CodeBucket="Personal")*CodeDays)</f>
        <v>0</v>
      </c>
      <c r="AL16" s="34">
        <f>SUMPRODUCT(COUNTIF(C16:AG16,Codes)*(Codes&lt;&gt;"")*(CodeBucket="Other")*CodeDays)</f>
        <v>0</v>
      </c>
      <c r="AM16" s="35">
        <f>SUM(AI16:AL16)</f>
        <v>0</v>
      </c>
    </row>
    <row r="17" spans="2:39" ht="17" customHeight="1">
      <c r="B17" s="29">
        <f>IF(Summary!B17="","",Summary!B17)</f>
        <v>0</v>
      </c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  <c r="O17" s="30"/>
      <c r="P17" s="30"/>
      <c r="Q17" s="30"/>
      <c r="R17" s="30"/>
      <c r="S17" s="30"/>
      <c r="T17" s="30"/>
      <c r="U17" s="30"/>
      <c r="V17" s="30"/>
      <c r="W17" s="30"/>
      <c r="X17" s="30"/>
      <c r="Y17" s="30"/>
      <c r="Z17" s="30"/>
      <c r="AA17" s="30"/>
      <c r="AB17" s="30"/>
      <c r="AC17" s="30"/>
      <c r="AD17" s="30"/>
      <c r="AE17" s="30"/>
      <c r="AF17" s="30"/>
      <c r="AG17" s="30"/>
      <c r="AI17" s="31">
        <f>SUMPRODUCT(COUNTIF(C17:AG17,Codes)*(Codes&lt;&gt;"")*(CodeBucket="Vacation")*CodeDays)</f>
        <v>0</v>
      </c>
      <c r="AJ17" s="32">
        <f>SUMPRODUCT(COUNTIF(C17:AG17,Codes)*(Codes&lt;&gt;"")*(CodeBucket="Sick")*CodeDays)</f>
        <v>0</v>
      </c>
      <c r="AK17" s="33">
        <f>SUMPRODUCT(COUNTIF(C17:AG17,Codes)*(Codes&lt;&gt;"")*(CodeBucket="Personal")*CodeDays)</f>
        <v>0</v>
      </c>
      <c r="AL17" s="34">
        <f>SUMPRODUCT(COUNTIF(C17:AG17,Codes)*(Codes&lt;&gt;"")*(CodeBucket="Other")*CodeDays)</f>
        <v>0</v>
      </c>
      <c r="AM17" s="35">
        <f>SUM(AI17:AL17)</f>
        <v>0</v>
      </c>
    </row>
    <row r="18" spans="2:39" ht="17" customHeight="1">
      <c r="B18" s="29">
        <f>IF(Summary!B18="","",Summary!B18)</f>
        <v>0</v>
      </c>
      <c r="C18" s="30"/>
      <c r="D18" s="30"/>
      <c r="E18" s="30"/>
      <c r="F18" s="30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30"/>
      <c r="R18" s="30"/>
      <c r="S18" s="30"/>
      <c r="T18" s="30"/>
      <c r="U18" s="30"/>
      <c r="V18" s="30"/>
      <c r="W18" s="30"/>
      <c r="X18" s="30"/>
      <c r="Y18" s="30"/>
      <c r="Z18" s="30"/>
      <c r="AA18" s="30"/>
      <c r="AB18" s="30"/>
      <c r="AC18" s="30"/>
      <c r="AD18" s="30"/>
      <c r="AE18" s="30"/>
      <c r="AF18" s="30"/>
      <c r="AG18" s="30"/>
      <c r="AI18" s="31">
        <f>SUMPRODUCT(COUNTIF(C18:AG18,Codes)*(Codes&lt;&gt;"")*(CodeBucket="Vacation")*CodeDays)</f>
        <v>0</v>
      </c>
      <c r="AJ18" s="32">
        <f>SUMPRODUCT(COUNTIF(C18:AG18,Codes)*(Codes&lt;&gt;"")*(CodeBucket="Sick")*CodeDays)</f>
        <v>0</v>
      </c>
      <c r="AK18" s="33">
        <f>SUMPRODUCT(COUNTIF(C18:AG18,Codes)*(Codes&lt;&gt;"")*(CodeBucket="Personal")*CodeDays)</f>
        <v>0</v>
      </c>
      <c r="AL18" s="34">
        <f>SUMPRODUCT(COUNTIF(C18:AG18,Codes)*(Codes&lt;&gt;"")*(CodeBucket="Other")*CodeDays)</f>
        <v>0</v>
      </c>
      <c r="AM18" s="35">
        <f>SUM(AI18:AL18)</f>
        <v>0</v>
      </c>
    </row>
    <row r="19" spans="2:39" ht="17" customHeight="1">
      <c r="B19" s="29">
        <f>IF(Summary!B19="","",Summary!B19)</f>
        <v>0</v>
      </c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30"/>
      <c r="AE19" s="30"/>
      <c r="AF19" s="30"/>
      <c r="AG19" s="30"/>
      <c r="AI19" s="31">
        <f>SUMPRODUCT(COUNTIF(C19:AG19,Codes)*(Codes&lt;&gt;"")*(CodeBucket="Vacation")*CodeDays)</f>
        <v>0</v>
      </c>
      <c r="AJ19" s="32">
        <f>SUMPRODUCT(COUNTIF(C19:AG19,Codes)*(Codes&lt;&gt;"")*(CodeBucket="Sick")*CodeDays)</f>
        <v>0</v>
      </c>
      <c r="AK19" s="33">
        <f>SUMPRODUCT(COUNTIF(C19:AG19,Codes)*(Codes&lt;&gt;"")*(CodeBucket="Personal")*CodeDays)</f>
        <v>0</v>
      </c>
      <c r="AL19" s="34">
        <f>SUMPRODUCT(COUNTIF(C19:AG19,Codes)*(Codes&lt;&gt;"")*(CodeBucket="Other")*CodeDays)</f>
        <v>0</v>
      </c>
      <c r="AM19" s="35">
        <f>SUM(AI19:AL19)</f>
        <v>0</v>
      </c>
    </row>
    <row r="20" spans="2:39" ht="17" customHeight="1">
      <c r="B20" s="29">
        <f>IF(Summary!B20="","",Summary!B20)</f>
        <v>0</v>
      </c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0"/>
      <c r="V20" s="30"/>
      <c r="W20" s="30"/>
      <c r="X20" s="30"/>
      <c r="Y20" s="30"/>
      <c r="Z20" s="30"/>
      <c r="AA20" s="30"/>
      <c r="AB20" s="30"/>
      <c r="AC20" s="30"/>
      <c r="AD20" s="30"/>
      <c r="AE20" s="30"/>
      <c r="AF20" s="30"/>
      <c r="AG20" s="30"/>
      <c r="AI20" s="31">
        <f>SUMPRODUCT(COUNTIF(C20:AG20,Codes)*(Codes&lt;&gt;"")*(CodeBucket="Vacation")*CodeDays)</f>
        <v>0</v>
      </c>
      <c r="AJ20" s="32">
        <f>SUMPRODUCT(COUNTIF(C20:AG20,Codes)*(Codes&lt;&gt;"")*(CodeBucket="Sick")*CodeDays)</f>
        <v>0</v>
      </c>
      <c r="AK20" s="33">
        <f>SUMPRODUCT(COUNTIF(C20:AG20,Codes)*(Codes&lt;&gt;"")*(CodeBucket="Personal")*CodeDays)</f>
        <v>0</v>
      </c>
      <c r="AL20" s="34">
        <f>SUMPRODUCT(COUNTIF(C20:AG20,Codes)*(Codes&lt;&gt;"")*(CodeBucket="Other")*CodeDays)</f>
        <v>0</v>
      </c>
      <c r="AM20" s="35">
        <f>SUM(AI20:AL20)</f>
        <v>0</v>
      </c>
    </row>
    <row r="21" spans="2:39" ht="17" customHeight="1">
      <c r="B21" s="29">
        <f>IF(Summary!B21="","",Summary!B21)</f>
        <v>0</v>
      </c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0"/>
      <c r="P21" s="30"/>
      <c r="Q21" s="30"/>
      <c r="R21" s="30"/>
      <c r="S21" s="30"/>
      <c r="T21" s="30"/>
      <c r="U21" s="30"/>
      <c r="V21" s="30"/>
      <c r="W21" s="30"/>
      <c r="X21" s="30"/>
      <c r="Y21" s="30"/>
      <c r="Z21" s="30"/>
      <c r="AA21" s="30"/>
      <c r="AB21" s="30"/>
      <c r="AC21" s="30"/>
      <c r="AD21" s="30"/>
      <c r="AE21" s="30"/>
      <c r="AF21" s="30"/>
      <c r="AG21" s="30"/>
      <c r="AI21" s="31">
        <f>SUMPRODUCT(COUNTIF(C21:AG21,Codes)*(Codes&lt;&gt;"")*(CodeBucket="Vacation")*CodeDays)</f>
        <v>0</v>
      </c>
      <c r="AJ21" s="32">
        <f>SUMPRODUCT(COUNTIF(C21:AG21,Codes)*(Codes&lt;&gt;"")*(CodeBucket="Sick")*CodeDays)</f>
        <v>0</v>
      </c>
      <c r="AK21" s="33">
        <f>SUMPRODUCT(COUNTIF(C21:AG21,Codes)*(Codes&lt;&gt;"")*(CodeBucket="Personal")*CodeDays)</f>
        <v>0</v>
      </c>
      <c r="AL21" s="34">
        <f>SUMPRODUCT(COUNTIF(C21:AG21,Codes)*(Codes&lt;&gt;"")*(CodeBucket="Other")*CodeDays)</f>
        <v>0</v>
      </c>
      <c r="AM21" s="35">
        <f>SUM(AI21:AL21)</f>
        <v>0</v>
      </c>
    </row>
    <row r="22" spans="2:39" ht="17" customHeight="1">
      <c r="B22" s="29">
        <f>IF(Summary!B22="","",Summary!B22)</f>
        <v>0</v>
      </c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0"/>
      <c r="W22" s="30"/>
      <c r="X22" s="30"/>
      <c r="Y22" s="30"/>
      <c r="Z22" s="30"/>
      <c r="AA22" s="30"/>
      <c r="AB22" s="30"/>
      <c r="AC22" s="30"/>
      <c r="AD22" s="30"/>
      <c r="AE22" s="30"/>
      <c r="AF22" s="30"/>
      <c r="AG22" s="30"/>
      <c r="AI22" s="31">
        <f>SUMPRODUCT(COUNTIF(C22:AG22,Codes)*(Codes&lt;&gt;"")*(CodeBucket="Vacation")*CodeDays)</f>
        <v>0</v>
      </c>
      <c r="AJ22" s="32">
        <f>SUMPRODUCT(COUNTIF(C22:AG22,Codes)*(Codes&lt;&gt;"")*(CodeBucket="Sick")*CodeDays)</f>
        <v>0</v>
      </c>
      <c r="AK22" s="33">
        <f>SUMPRODUCT(COUNTIF(C22:AG22,Codes)*(Codes&lt;&gt;"")*(CodeBucket="Personal")*CodeDays)</f>
        <v>0</v>
      </c>
      <c r="AL22" s="34">
        <f>SUMPRODUCT(COUNTIF(C22:AG22,Codes)*(Codes&lt;&gt;"")*(CodeBucket="Other")*CodeDays)</f>
        <v>0</v>
      </c>
      <c r="AM22" s="35">
        <f>SUM(AI22:AL22)</f>
        <v>0</v>
      </c>
    </row>
    <row r="23" spans="2:39" ht="17" customHeight="1">
      <c r="B23" s="29">
        <f>IF(Summary!B23="","",Summary!B23)</f>
        <v>0</v>
      </c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30"/>
      <c r="S23" s="30"/>
      <c r="T23" s="30"/>
      <c r="U23" s="30"/>
      <c r="V23" s="30"/>
      <c r="W23" s="30"/>
      <c r="X23" s="30"/>
      <c r="Y23" s="30"/>
      <c r="Z23" s="30"/>
      <c r="AA23" s="30"/>
      <c r="AB23" s="30"/>
      <c r="AC23" s="30"/>
      <c r="AD23" s="30"/>
      <c r="AE23" s="30"/>
      <c r="AF23" s="30"/>
      <c r="AG23" s="30"/>
      <c r="AI23" s="31">
        <f>SUMPRODUCT(COUNTIF(C23:AG23,Codes)*(Codes&lt;&gt;"")*(CodeBucket="Vacation")*CodeDays)</f>
        <v>0</v>
      </c>
      <c r="AJ23" s="32">
        <f>SUMPRODUCT(COUNTIF(C23:AG23,Codes)*(Codes&lt;&gt;"")*(CodeBucket="Sick")*CodeDays)</f>
        <v>0</v>
      </c>
      <c r="AK23" s="33">
        <f>SUMPRODUCT(COUNTIF(C23:AG23,Codes)*(Codes&lt;&gt;"")*(CodeBucket="Personal")*CodeDays)</f>
        <v>0</v>
      </c>
      <c r="AL23" s="34">
        <f>SUMPRODUCT(COUNTIF(C23:AG23,Codes)*(Codes&lt;&gt;"")*(CodeBucket="Other")*CodeDays)</f>
        <v>0</v>
      </c>
      <c r="AM23" s="35">
        <f>SUM(AI23:AL23)</f>
        <v>0</v>
      </c>
    </row>
    <row r="24" spans="2:39" ht="17" customHeight="1">
      <c r="B24" s="29">
        <f>IF(Summary!B24="","",Summary!B24)</f>
        <v>0</v>
      </c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30"/>
      <c r="S24" s="30"/>
      <c r="T24" s="30"/>
      <c r="U24" s="30"/>
      <c r="V24" s="30"/>
      <c r="W24" s="30"/>
      <c r="X24" s="30"/>
      <c r="Y24" s="30"/>
      <c r="Z24" s="30"/>
      <c r="AA24" s="30"/>
      <c r="AB24" s="30"/>
      <c r="AC24" s="30"/>
      <c r="AD24" s="30"/>
      <c r="AE24" s="30"/>
      <c r="AF24" s="30"/>
      <c r="AG24" s="30"/>
      <c r="AI24" s="31">
        <f>SUMPRODUCT(COUNTIF(C24:AG24,Codes)*(Codes&lt;&gt;"")*(CodeBucket="Vacation")*CodeDays)</f>
        <v>0</v>
      </c>
      <c r="AJ24" s="32">
        <f>SUMPRODUCT(COUNTIF(C24:AG24,Codes)*(Codes&lt;&gt;"")*(CodeBucket="Sick")*CodeDays)</f>
        <v>0</v>
      </c>
      <c r="AK24" s="33">
        <f>SUMPRODUCT(COUNTIF(C24:AG24,Codes)*(Codes&lt;&gt;"")*(CodeBucket="Personal")*CodeDays)</f>
        <v>0</v>
      </c>
      <c r="AL24" s="34">
        <f>SUMPRODUCT(COUNTIF(C24:AG24,Codes)*(Codes&lt;&gt;"")*(CodeBucket="Other")*CodeDays)</f>
        <v>0</v>
      </c>
      <c r="AM24" s="35">
        <f>SUM(AI24:AL24)</f>
        <v>0</v>
      </c>
    </row>
    <row r="25" spans="2:39" ht="17" customHeight="1">
      <c r="B25" s="29">
        <f>IF(Summary!B25="","",Summary!B25)</f>
        <v>0</v>
      </c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I25" s="31">
        <f>SUMPRODUCT(COUNTIF(C25:AG25,Codes)*(Codes&lt;&gt;"")*(CodeBucket="Vacation")*CodeDays)</f>
        <v>0</v>
      </c>
      <c r="AJ25" s="32">
        <f>SUMPRODUCT(COUNTIF(C25:AG25,Codes)*(Codes&lt;&gt;"")*(CodeBucket="Sick")*CodeDays)</f>
        <v>0</v>
      </c>
      <c r="AK25" s="33">
        <f>SUMPRODUCT(COUNTIF(C25:AG25,Codes)*(Codes&lt;&gt;"")*(CodeBucket="Personal")*CodeDays)</f>
        <v>0</v>
      </c>
      <c r="AL25" s="34">
        <f>SUMPRODUCT(COUNTIF(C25:AG25,Codes)*(Codes&lt;&gt;"")*(CodeBucket="Other")*CodeDays)</f>
        <v>0</v>
      </c>
      <c r="AM25" s="35">
        <f>SUM(AI25:AL25)</f>
        <v>0</v>
      </c>
    </row>
    <row r="26" spans="2:39" ht="17" customHeight="1">
      <c r="B26" s="29">
        <f>IF(Summary!B26="","",Summary!B26)</f>
        <v>0</v>
      </c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I26" s="31">
        <f>SUMPRODUCT(COUNTIF(C26:AG26,Codes)*(Codes&lt;&gt;"")*(CodeBucket="Vacation")*CodeDays)</f>
        <v>0</v>
      </c>
      <c r="AJ26" s="32">
        <f>SUMPRODUCT(COUNTIF(C26:AG26,Codes)*(Codes&lt;&gt;"")*(CodeBucket="Sick")*CodeDays)</f>
        <v>0</v>
      </c>
      <c r="AK26" s="33">
        <f>SUMPRODUCT(COUNTIF(C26:AG26,Codes)*(Codes&lt;&gt;"")*(CodeBucket="Personal")*CodeDays)</f>
        <v>0</v>
      </c>
      <c r="AL26" s="34">
        <f>SUMPRODUCT(COUNTIF(C26:AG26,Codes)*(Codes&lt;&gt;"")*(CodeBucket="Other")*CodeDays)</f>
        <v>0</v>
      </c>
      <c r="AM26" s="35">
        <f>SUM(AI26:AL26)</f>
        <v>0</v>
      </c>
    </row>
    <row r="27" spans="2:39" ht="17" customHeight="1">
      <c r="B27" s="29">
        <f>IF(Summary!B27="","",Summary!B27)</f>
        <v>0</v>
      </c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  <c r="AD27" s="30"/>
      <c r="AE27" s="30"/>
      <c r="AF27" s="30"/>
      <c r="AG27" s="30"/>
      <c r="AI27" s="31">
        <f>SUMPRODUCT(COUNTIF(C27:AG27,Codes)*(Codes&lt;&gt;"")*(CodeBucket="Vacation")*CodeDays)</f>
        <v>0</v>
      </c>
      <c r="AJ27" s="32">
        <f>SUMPRODUCT(COUNTIF(C27:AG27,Codes)*(Codes&lt;&gt;"")*(CodeBucket="Sick")*CodeDays)</f>
        <v>0</v>
      </c>
      <c r="AK27" s="33">
        <f>SUMPRODUCT(COUNTIF(C27:AG27,Codes)*(Codes&lt;&gt;"")*(CodeBucket="Personal")*CodeDays)</f>
        <v>0</v>
      </c>
      <c r="AL27" s="34">
        <f>SUMPRODUCT(COUNTIF(C27:AG27,Codes)*(Codes&lt;&gt;"")*(CodeBucket="Other")*CodeDays)</f>
        <v>0</v>
      </c>
      <c r="AM27" s="35">
        <f>SUM(AI27:AL27)</f>
        <v>0</v>
      </c>
    </row>
    <row r="28" spans="2:39" ht="17" customHeight="1">
      <c r="B28" s="29">
        <f>IF(Summary!B28="","",Summary!B28)</f>
        <v>0</v>
      </c>
      <c r="C28" s="30"/>
      <c r="D28" s="30"/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0"/>
      <c r="P28" s="30"/>
      <c r="Q28" s="30"/>
      <c r="R28" s="30"/>
      <c r="S28" s="30"/>
      <c r="T28" s="30"/>
      <c r="U28" s="30"/>
      <c r="V28" s="30"/>
      <c r="W28" s="30"/>
      <c r="X28" s="30"/>
      <c r="Y28" s="30"/>
      <c r="Z28" s="30"/>
      <c r="AA28" s="30"/>
      <c r="AB28" s="30"/>
      <c r="AC28" s="30"/>
      <c r="AD28" s="30"/>
      <c r="AE28" s="30"/>
      <c r="AF28" s="30"/>
      <c r="AG28" s="30"/>
      <c r="AI28" s="31">
        <f>SUMPRODUCT(COUNTIF(C28:AG28,Codes)*(Codes&lt;&gt;"")*(CodeBucket="Vacation")*CodeDays)</f>
        <v>0</v>
      </c>
      <c r="AJ28" s="32">
        <f>SUMPRODUCT(COUNTIF(C28:AG28,Codes)*(Codes&lt;&gt;"")*(CodeBucket="Sick")*CodeDays)</f>
        <v>0</v>
      </c>
      <c r="AK28" s="33">
        <f>SUMPRODUCT(COUNTIF(C28:AG28,Codes)*(Codes&lt;&gt;"")*(CodeBucket="Personal")*CodeDays)</f>
        <v>0</v>
      </c>
      <c r="AL28" s="34">
        <f>SUMPRODUCT(COUNTIF(C28:AG28,Codes)*(Codes&lt;&gt;"")*(CodeBucket="Other")*CodeDays)</f>
        <v>0</v>
      </c>
      <c r="AM28" s="35">
        <f>SUM(AI28:AL28)</f>
        <v>0</v>
      </c>
    </row>
    <row r="29" spans="2:39" ht="17" customHeight="1">
      <c r="B29" s="29">
        <f>IF(Summary!B29="","",Summary!B29)</f>
        <v>0</v>
      </c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30"/>
      <c r="AD29" s="30"/>
      <c r="AE29" s="30"/>
      <c r="AF29" s="30"/>
      <c r="AG29" s="30"/>
      <c r="AI29" s="31">
        <f>SUMPRODUCT(COUNTIF(C29:AG29,Codes)*(Codes&lt;&gt;"")*(CodeBucket="Vacation")*CodeDays)</f>
        <v>0</v>
      </c>
      <c r="AJ29" s="32">
        <f>SUMPRODUCT(COUNTIF(C29:AG29,Codes)*(Codes&lt;&gt;"")*(CodeBucket="Sick")*CodeDays)</f>
        <v>0</v>
      </c>
      <c r="AK29" s="33">
        <f>SUMPRODUCT(COUNTIF(C29:AG29,Codes)*(Codes&lt;&gt;"")*(CodeBucket="Personal")*CodeDays)</f>
        <v>0</v>
      </c>
      <c r="AL29" s="34">
        <f>SUMPRODUCT(COUNTIF(C29:AG29,Codes)*(Codes&lt;&gt;"")*(CodeBucket="Other")*CodeDays)</f>
        <v>0</v>
      </c>
      <c r="AM29" s="35">
        <f>SUM(AI29:AL29)</f>
        <v>0</v>
      </c>
    </row>
    <row r="30" spans="2:39" ht="17" customHeight="1">
      <c r="B30" s="29">
        <f>IF(Summary!B30="","",Summary!B30)</f>
        <v>0</v>
      </c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  <c r="AF30" s="30"/>
      <c r="AG30" s="30"/>
      <c r="AI30" s="31">
        <f>SUMPRODUCT(COUNTIF(C30:AG30,Codes)*(Codes&lt;&gt;"")*(CodeBucket="Vacation")*CodeDays)</f>
        <v>0</v>
      </c>
      <c r="AJ30" s="32">
        <f>SUMPRODUCT(COUNTIF(C30:AG30,Codes)*(Codes&lt;&gt;"")*(CodeBucket="Sick")*CodeDays)</f>
        <v>0</v>
      </c>
      <c r="AK30" s="33">
        <f>SUMPRODUCT(COUNTIF(C30:AG30,Codes)*(Codes&lt;&gt;"")*(CodeBucket="Personal")*CodeDays)</f>
        <v>0</v>
      </c>
      <c r="AL30" s="34">
        <f>SUMPRODUCT(COUNTIF(C30:AG30,Codes)*(Codes&lt;&gt;"")*(CodeBucket="Other")*CodeDays)</f>
        <v>0</v>
      </c>
      <c r="AM30" s="35">
        <f>SUM(AI30:AL30)</f>
        <v>0</v>
      </c>
    </row>
    <row r="31" spans="2:39" ht="16" customHeight="1">
      <c r="B31" s="36" t="s">
        <v>94</v>
      </c>
      <c r="C31" s="37">
        <f>IF(COUNTA(C6:C30)=0,"",COUNTA(C6:C30))</f>
        <v>0</v>
      </c>
      <c r="D31" s="37">
        <f>IF(COUNTA(D6:D30)=0,"",COUNTA(D6:D30))</f>
        <v>0</v>
      </c>
      <c r="E31" s="37">
        <f>IF(COUNTA(E6:E30)=0,"",COUNTA(E6:E30))</f>
        <v>0</v>
      </c>
      <c r="F31" s="37">
        <f>IF(COUNTA(F6:F30)=0,"",COUNTA(F6:F30))</f>
        <v>0</v>
      </c>
      <c r="G31" s="37">
        <f>IF(COUNTA(G6:G30)=0,"",COUNTA(G6:G30))</f>
        <v>0</v>
      </c>
      <c r="H31" s="37">
        <f>IF(COUNTA(H6:H30)=0,"",COUNTA(H6:H30))</f>
        <v>0</v>
      </c>
      <c r="I31" s="37">
        <f>IF(COUNTA(I6:I30)=0,"",COUNTA(I6:I30))</f>
        <v>0</v>
      </c>
      <c r="J31" s="37">
        <f>IF(COUNTA(J6:J30)=0,"",COUNTA(J6:J30))</f>
        <v>0</v>
      </c>
      <c r="K31" s="37">
        <f>IF(COUNTA(K6:K30)=0,"",COUNTA(K6:K30))</f>
        <v>0</v>
      </c>
      <c r="L31" s="37">
        <f>IF(COUNTA(L6:L30)=0,"",COUNTA(L6:L30))</f>
        <v>0</v>
      </c>
      <c r="M31" s="37">
        <f>IF(COUNTA(M6:M30)=0,"",COUNTA(M6:M30))</f>
        <v>0</v>
      </c>
      <c r="N31" s="37">
        <f>IF(COUNTA(N6:N30)=0,"",COUNTA(N6:N30))</f>
        <v>0</v>
      </c>
      <c r="O31" s="37">
        <f>IF(COUNTA(O6:O30)=0,"",COUNTA(O6:O30))</f>
        <v>0</v>
      </c>
      <c r="P31" s="37">
        <f>IF(COUNTA(P6:P30)=0,"",COUNTA(P6:P30))</f>
        <v>0</v>
      </c>
      <c r="Q31" s="37">
        <f>IF(COUNTA(Q6:Q30)=0,"",COUNTA(Q6:Q30))</f>
        <v>0</v>
      </c>
      <c r="R31" s="37">
        <f>IF(COUNTA(R6:R30)=0,"",COUNTA(R6:R30))</f>
        <v>0</v>
      </c>
      <c r="S31" s="37">
        <f>IF(COUNTA(S6:S30)=0,"",COUNTA(S6:S30))</f>
        <v>0</v>
      </c>
      <c r="T31" s="37">
        <f>IF(COUNTA(T6:T30)=0,"",COUNTA(T6:T30))</f>
        <v>0</v>
      </c>
      <c r="U31" s="37">
        <f>IF(COUNTA(U6:U30)=0,"",COUNTA(U6:U30))</f>
        <v>0</v>
      </c>
      <c r="V31" s="37">
        <f>IF(COUNTA(V6:V30)=0,"",COUNTA(V6:V30))</f>
        <v>0</v>
      </c>
      <c r="W31" s="37">
        <f>IF(COUNTA(W6:W30)=0,"",COUNTA(W6:W30))</f>
        <v>0</v>
      </c>
      <c r="X31" s="37">
        <f>IF(COUNTA(X6:X30)=0,"",COUNTA(X6:X30))</f>
        <v>0</v>
      </c>
      <c r="Y31" s="37">
        <f>IF(COUNTA(Y6:Y30)=0,"",COUNTA(Y6:Y30))</f>
        <v>0</v>
      </c>
      <c r="Z31" s="37">
        <f>IF(COUNTA(Z6:Z30)=0,"",COUNTA(Z6:Z30))</f>
        <v>0</v>
      </c>
      <c r="AA31" s="37">
        <f>IF(COUNTA(AA6:AA30)=0,"",COUNTA(AA6:AA30))</f>
        <v>0</v>
      </c>
      <c r="AB31" s="37">
        <f>IF(COUNTA(AB6:AB30)=0,"",COUNTA(AB6:AB30))</f>
        <v>0</v>
      </c>
      <c r="AC31" s="37">
        <f>IF(COUNTA(AC6:AC30)=0,"",COUNTA(AC6:AC30))</f>
        <v>0</v>
      </c>
      <c r="AD31" s="37">
        <f>IF(COUNTA(AD6:AD30)=0,"",COUNTA(AD6:AD30))</f>
        <v>0</v>
      </c>
      <c r="AE31" s="37">
        <f>IF(COUNTA(AE6:AE30)=0,"",COUNTA(AE6:AE30))</f>
        <v>0</v>
      </c>
      <c r="AF31" s="37">
        <f>IF(COUNTA(AF6:AF30)=0,"",COUNTA(AF6:AF30))</f>
        <v>0</v>
      </c>
      <c r="AG31" s="37">
        <f>IF(COUNTA(AG6:AG30)=0,"",COUNTA(AG6:AG30))</f>
        <v>0</v>
      </c>
    </row>
    <row r="33" spans="2:39">
      <c r="B33" s="38" t="s">
        <v>95</v>
      </c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8"/>
      <c r="AG33" s="38"/>
      <c r="AH33" s="38"/>
      <c r="AI33" s="38"/>
      <c r="AJ33" s="38"/>
      <c r="AK33" s="38"/>
      <c r="AL33" s="38"/>
      <c r="AM33" s="38"/>
    </row>
  </sheetData>
  <mergeCells count="9">
    <mergeCell ref="B2:I2"/>
    <mergeCell ref="J2:N2"/>
    <mergeCell ref="P2:AM2"/>
    <mergeCell ref="AI4:AI5"/>
    <mergeCell ref="AJ4:AJ5"/>
    <mergeCell ref="AK4:AK5"/>
    <mergeCell ref="AL4:AL5"/>
    <mergeCell ref="AM4:AM5"/>
    <mergeCell ref="B33:AM33"/>
  </mergeCells>
  <conditionalFormatting sqref="C4:AG5">
    <cfRule type="expression" dxfId="7" priority="8">
      <formula>AND(MONTH(DATE(CalYear,1,COLUMN()-2))=1,COUNTIFS(INDIRECT("Holidays!$C$6:$C$60"),DATE(CalYear,1,COLUMN()-2),INDIRECT("Holidays!$D$6:$D$60"),"Holiday")&gt;0)</formula>
    </cfRule>
  </conditionalFormatting>
  <conditionalFormatting sqref="C6:AG30">
    <cfRule type="expression" dxfId="0" priority="1" stopIfTrue="1">
      <formula>MONTH(DATE(CalYear,1,COLUMN()-2))&lt;&gt;1</formula>
    </cfRule>
    <cfRule type="expression" dxfId="1" priority="2" stopIfTrue="1">
      <formula>AND(C6&lt;&gt;"",COUNTIFS(INDIRECT("Setup!$B$9:$B$22"),C6,INDIRECT("Setup!$E$9:$E$22"),"Vacation")&gt;0)</formula>
    </cfRule>
    <cfRule type="expression" dxfId="2" priority="3" stopIfTrue="1">
      <formula>AND(C6&lt;&gt;"",COUNTIFS(INDIRECT("Setup!$B$9:$B$22"),C6,INDIRECT("Setup!$E$9:$E$22"),"Sick")&gt;0)</formula>
    </cfRule>
    <cfRule type="expression" dxfId="3" priority="4" stopIfTrue="1">
      <formula>AND(C6&lt;&gt;"",COUNTIFS(INDIRECT("Setup!$B$9:$B$22"),C6,INDIRECT("Setup!$E$9:$E$22"),"Personal")&gt;0)</formula>
    </cfRule>
    <cfRule type="expression" dxfId="4" priority="5" stopIfTrue="1">
      <formula>AND(C6&lt;&gt;"",COUNTIFS(INDIRECT("Setup!$B$9:$B$22"),C6,INDIRECT("Setup!$E$9:$E$22"),"Other")&gt;0)</formula>
    </cfRule>
    <cfRule type="expression" dxfId="5" priority="6" stopIfTrue="1">
      <formula>COUNTIFS(INDIRECT("Holidays!$C$6:$C$60"),DATE(CalYear,1,COLUMN()-2),INDIRECT("Holidays!$D$6:$D$60"),"Holiday")&gt;0</formula>
    </cfRule>
    <cfRule type="expression" dxfId="6" priority="7" stopIfTrue="1">
      <formula>OR(WEEKDAY(DATE(CalYear,1,COLUMN()-2))=1,WEEKDAY(DATE(CalYear,1,COLUMN()-2))=7)</formula>
    </cfRule>
  </conditionalFormatting>
  <dataValidations count="1">
    <dataValidation type="list" errorStyle="warning" allowBlank="1" showInputMessage="1" showErrorMessage="1" error="Not a code from the Setup tab (it won't be counted)." sqref="C6:AG30">
      <formula1>Codes</formula1>
    </dataValidation>
  </dataValidations>
  <printOptions horizontalCentered="1"/>
  <pageMargins left="0.3" right="0.3" top="0.3" bottom="0.3" header="0.3" footer="0.3"/>
  <pageSetup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2:AM33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/>
    </sheetView>
  </sheetViews>
  <sheetFormatPr defaultRowHeight="15"/>
  <cols>
    <col min="1" max="1" width="1.7109375" customWidth="1"/>
    <col min="2" max="2" width="18.7109375" customWidth="1"/>
    <col min="3" max="33" width="3.85546875" customWidth="1"/>
    <col min="34" max="34" width="1.7109375" customWidth="1"/>
    <col min="35" max="38" width="5.7109375" customWidth="1"/>
    <col min="39" max="39" width="6.28515625" customWidth="1"/>
  </cols>
  <sheetData>
    <row r="2" spans="2:39" ht="34" customHeight="1">
      <c r="B2" s="1" t="s">
        <v>96</v>
      </c>
      <c r="C2" s="1"/>
      <c r="D2" s="1"/>
      <c r="E2" s="1"/>
      <c r="F2" s="1"/>
      <c r="G2" s="1"/>
      <c r="H2" s="1"/>
      <c r="I2" s="1"/>
      <c r="J2" s="18">
        <f>CalYear</f>
        <v>0</v>
      </c>
      <c r="K2" s="18"/>
      <c r="L2" s="18"/>
      <c r="M2" s="18"/>
      <c r="N2" s="18"/>
      <c r="P2" s="19">
        <f>"Codes: "&amp;Setup!B9&amp;" "&amp;Setup!C9&amp;" · "&amp;Setup!B10&amp;" "&amp;Setup!C10&amp;" · "&amp;Setup!B11&amp;" "&amp;Setup!C11&amp;" · "&amp;Setup!B13&amp;" "&amp;Setup!C13&amp;" · "&amp;Setup!B15&amp;" "&amp;Setup!C15&amp;"   (full list on Setup)"</f>
        <v>0</v>
      </c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</row>
    <row r="4" spans="2:39" ht="14" customHeight="1">
      <c r="B4" s="20"/>
      <c r="C4" s="21">
        <f>IF(MONTH(DATE(CalYear,2,1))=2,CHOOSE(WEEKDAY(DATE(CalYear,2,1)),"S","M","T","W","T","F","S"),"")</f>
        <v>0</v>
      </c>
      <c r="D4" s="21">
        <f>IF(MONTH(DATE(CalYear,2,2))=2,CHOOSE(WEEKDAY(DATE(CalYear,2,2)),"S","M","T","W","T","F","S"),"")</f>
        <v>0</v>
      </c>
      <c r="E4" s="21">
        <f>IF(MONTH(DATE(CalYear,2,3))=2,CHOOSE(WEEKDAY(DATE(CalYear,2,3)),"S","M","T","W","T","F","S"),"")</f>
        <v>0</v>
      </c>
      <c r="F4" s="21">
        <f>IF(MONTH(DATE(CalYear,2,4))=2,CHOOSE(WEEKDAY(DATE(CalYear,2,4)),"S","M","T","W","T","F","S"),"")</f>
        <v>0</v>
      </c>
      <c r="G4" s="21">
        <f>IF(MONTH(DATE(CalYear,2,5))=2,CHOOSE(WEEKDAY(DATE(CalYear,2,5)),"S","M","T","W","T","F","S"),"")</f>
        <v>0</v>
      </c>
      <c r="H4" s="21">
        <f>IF(MONTH(DATE(CalYear,2,6))=2,CHOOSE(WEEKDAY(DATE(CalYear,2,6)),"S","M","T","W","T","F","S"),"")</f>
        <v>0</v>
      </c>
      <c r="I4" s="21">
        <f>IF(MONTH(DATE(CalYear,2,7))=2,CHOOSE(WEEKDAY(DATE(CalYear,2,7)),"S","M","T","W","T","F","S"),"")</f>
        <v>0</v>
      </c>
      <c r="J4" s="21">
        <f>IF(MONTH(DATE(CalYear,2,8))=2,CHOOSE(WEEKDAY(DATE(CalYear,2,8)),"S","M","T","W","T","F","S"),"")</f>
        <v>0</v>
      </c>
      <c r="K4" s="21">
        <f>IF(MONTH(DATE(CalYear,2,9))=2,CHOOSE(WEEKDAY(DATE(CalYear,2,9)),"S","M","T","W","T","F","S"),"")</f>
        <v>0</v>
      </c>
      <c r="L4" s="21">
        <f>IF(MONTH(DATE(CalYear,2,10))=2,CHOOSE(WEEKDAY(DATE(CalYear,2,10)),"S","M","T","W","T","F","S"),"")</f>
        <v>0</v>
      </c>
      <c r="M4" s="21">
        <f>IF(MONTH(DATE(CalYear,2,11))=2,CHOOSE(WEEKDAY(DATE(CalYear,2,11)),"S","M","T","W","T","F","S"),"")</f>
        <v>0</v>
      </c>
      <c r="N4" s="21">
        <f>IF(MONTH(DATE(CalYear,2,12))=2,CHOOSE(WEEKDAY(DATE(CalYear,2,12)),"S","M","T","W","T","F","S"),"")</f>
        <v>0</v>
      </c>
      <c r="O4" s="21">
        <f>IF(MONTH(DATE(CalYear,2,13))=2,CHOOSE(WEEKDAY(DATE(CalYear,2,13)),"S","M","T","W","T","F","S"),"")</f>
        <v>0</v>
      </c>
      <c r="P4" s="21">
        <f>IF(MONTH(DATE(CalYear,2,14))=2,CHOOSE(WEEKDAY(DATE(CalYear,2,14)),"S","M","T","W","T","F","S"),"")</f>
        <v>0</v>
      </c>
      <c r="Q4" s="21">
        <f>IF(MONTH(DATE(CalYear,2,15))=2,CHOOSE(WEEKDAY(DATE(CalYear,2,15)),"S","M","T","W","T","F","S"),"")</f>
        <v>0</v>
      </c>
      <c r="R4" s="21">
        <f>IF(MONTH(DATE(CalYear,2,16))=2,CHOOSE(WEEKDAY(DATE(CalYear,2,16)),"S","M","T","W","T","F","S"),"")</f>
        <v>0</v>
      </c>
      <c r="S4" s="21">
        <f>IF(MONTH(DATE(CalYear,2,17))=2,CHOOSE(WEEKDAY(DATE(CalYear,2,17)),"S","M","T","W","T","F","S"),"")</f>
        <v>0</v>
      </c>
      <c r="T4" s="21">
        <f>IF(MONTH(DATE(CalYear,2,18))=2,CHOOSE(WEEKDAY(DATE(CalYear,2,18)),"S","M","T","W","T","F","S"),"")</f>
        <v>0</v>
      </c>
      <c r="U4" s="21">
        <f>IF(MONTH(DATE(CalYear,2,19))=2,CHOOSE(WEEKDAY(DATE(CalYear,2,19)),"S","M","T","W","T","F","S"),"")</f>
        <v>0</v>
      </c>
      <c r="V4" s="21">
        <f>IF(MONTH(DATE(CalYear,2,20))=2,CHOOSE(WEEKDAY(DATE(CalYear,2,20)),"S","M","T","W","T","F","S"),"")</f>
        <v>0</v>
      </c>
      <c r="W4" s="21">
        <f>IF(MONTH(DATE(CalYear,2,21))=2,CHOOSE(WEEKDAY(DATE(CalYear,2,21)),"S","M","T","W","T","F","S"),"")</f>
        <v>0</v>
      </c>
      <c r="X4" s="21">
        <f>IF(MONTH(DATE(CalYear,2,22))=2,CHOOSE(WEEKDAY(DATE(CalYear,2,22)),"S","M","T","W","T","F","S"),"")</f>
        <v>0</v>
      </c>
      <c r="Y4" s="21">
        <f>IF(MONTH(DATE(CalYear,2,23))=2,CHOOSE(WEEKDAY(DATE(CalYear,2,23)),"S","M","T","W","T","F","S"),"")</f>
        <v>0</v>
      </c>
      <c r="Z4" s="21">
        <f>IF(MONTH(DATE(CalYear,2,24))=2,CHOOSE(WEEKDAY(DATE(CalYear,2,24)),"S","M","T","W","T","F","S"),"")</f>
        <v>0</v>
      </c>
      <c r="AA4" s="21">
        <f>IF(MONTH(DATE(CalYear,2,25))=2,CHOOSE(WEEKDAY(DATE(CalYear,2,25)),"S","M","T","W","T","F","S"),"")</f>
        <v>0</v>
      </c>
      <c r="AB4" s="21">
        <f>IF(MONTH(DATE(CalYear,2,26))=2,CHOOSE(WEEKDAY(DATE(CalYear,2,26)),"S","M","T","W","T","F","S"),"")</f>
        <v>0</v>
      </c>
      <c r="AC4" s="21">
        <f>IF(MONTH(DATE(CalYear,2,27))=2,CHOOSE(WEEKDAY(DATE(CalYear,2,27)),"S","M","T","W","T","F","S"),"")</f>
        <v>0</v>
      </c>
      <c r="AD4" s="21">
        <f>IF(MONTH(DATE(CalYear,2,28))=2,CHOOSE(WEEKDAY(DATE(CalYear,2,28)),"S","M","T","W","T","F","S"),"")</f>
        <v>0</v>
      </c>
      <c r="AE4" s="21">
        <f>IF(MONTH(DATE(CalYear,2,29))=2,CHOOSE(WEEKDAY(DATE(CalYear,2,29)),"S","M","T","W","T","F","S"),"")</f>
        <v>0</v>
      </c>
      <c r="AF4" s="21">
        <f>IF(MONTH(DATE(CalYear,2,30))=2,CHOOSE(WEEKDAY(DATE(CalYear,2,30)),"S","M","T","W","T","F","S"),"")</f>
        <v>0</v>
      </c>
      <c r="AG4" s="21">
        <f>IF(MONTH(DATE(CalYear,2,31))=2,CHOOSE(WEEKDAY(DATE(CalYear,2,31)),"S","M","T","W","T","F","S"),"")</f>
        <v>0</v>
      </c>
      <c r="AI4" s="22" t="s">
        <v>89</v>
      </c>
      <c r="AJ4" s="23" t="s">
        <v>90</v>
      </c>
      <c r="AK4" s="24" t="s">
        <v>91</v>
      </c>
      <c r="AL4" s="25" t="s">
        <v>92</v>
      </c>
      <c r="AM4" s="26" t="s">
        <v>93</v>
      </c>
    </row>
    <row r="5" spans="2:39" ht="18" customHeight="1">
      <c r="B5" s="27" t="s">
        <v>68</v>
      </c>
      <c r="C5" s="28">
        <f>IF(MONTH(DATE(CalYear,2,1))=2,1,"")</f>
        <v>0</v>
      </c>
      <c r="D5" s="28">
        <f>IF(MONTH(DATE(CalYear,2,2))=2,2,"")</f>
        <v>0</v>
      </c>
      <c r="E5" s="28">
        <f>IF(MONTH(DATE(CalYear,2,3))=2,3,"")</f>
        <v>0</v>
      </c>
      <c r="F5" s="28">
        <f>IF(MONTH(DATE(CalYear,2,4))=2,4,"")</f>
        <v>0</v>
      </c>
      <c r="G5" s="28">
        <f>IF(MONTH(DATE(CalYear,2,5))=2,5,"")</f>
        <v>0</v>
      </c>
      <c r="H5" s="28">
        <f>IF(MONTH(DATE(CalYear,2,6))=2,6,"")</f>
        <v>0</v>
      </c>
      <c r="I5" s="28">
        <f>IF(MONTH(DATE(CalYear,2,7))=2,7,"")</f>
        <v>0</v>
      </c>
      <c r="J5" s="28">
        <f>IF(MONTH(DATE(CalYear,2,8))=2,8,"")</f>
        <v>0</v>
      </c>
      <c r="K5" s="28">
        <f>IF(MONTH(DATE(CalYear,2,9))=2,9,"")</f>
        <v>0</v>
      </c>
      <c r="L5" s="28">
        <f>IF(MONTH(DATE(CalYear,2,10))=2,10,"")</f>
        <v>0</v>
      </c>
      <c r="M5" s="28">
        <f>IF(MONTH(DATE(CalYear,2,11))=2,11,"")</f>
        <v>0</v>
      </c>
      <c r="N5" s="28">
        <f>IF(MONTH(DATE(CalYear,2,12))=2,12,"")</f>
        <v>0</v>
      </c>
      <c r="O5" s="28">
        <f>IF(MONTH(DATE(CalYear,2,13))=2,13,"")</f>
        <v>0</v>
      </c>
      <c r="P5" s="28">
        <f>IF(MONTH(DATE(CalYear,2,14))=2,14,"")</f>
        <v>0</v>
      </c>
      <c r="Q5" s="28">
        <f>IF(MONTH(DATE(CalYear,2,15))=2,15,"")</f>
        <v>0</v>
      </c>
      <c r="R5" s="28">
        <f>IF(MONTH(DATE(CalYear,2,16))=2,16,"")</f>
        <v>0</v>
      </c>
      <c r="S5" s="28">
        <f>IF(MONTH(DATE(CalYear,2,17))=2,17,"")</f>
        <v>0</v>
      </c>
      <c r="T5" s="28">
        <f>IF(MONTH(DATE(CalYear,2,18))=2,18,"")</f>
        <v>0</v>
      </c>
      <c r="U5" s="28">
        <f>IF(MONTH(DATE(CalYear,2,19))=2,19,"")</f>
        <v>0</v>
      </c>
      <c r="V5" s="28">
        <f>IF(MONTH(DATE(CalYear,2,20))=2,20,"")</f>
        <v>0</v>
      </c>
      <c r="W5" s="28">
        <f>IF(MONTH(DATE(CalYear,2,21))=2,21,"")</f>
        <v>0</v>
      </c>
      <c r="X5" s="28">
        <f>IF(MONTH(DATE(CalYear,2,22))=2,22,"")</f>
        <v>0</v>
      </c>
      <c r="Y5" s="28">
        <f>IF(MONTH(DATE(CalYear,2,23))=2,23,"")</f>
        <v>0</v>
      </c>
      <c r="Z5" s="28">
        <f>IF(MONTH(DATE(CalYear,2,24))=2,24,"")</f>
        <v>0</v>
      </c>
      <c r="AA5" s="28">
        <f>IF(MONTH(DATE(CalYear,2,25))=2,25,"")</f>
        <v>0</v>
      </c>
      <c r="AB5" s="28">
        <f>IF(MONTH(DATE(CalYear,2,26))=2,26,"")</f>
        <v>0</v>
      </c>
      <c r="AC5" s="28">
        <f>IF(MONTH(DATE(CalYear,2,27))=2,27,"")</f>
        <v>0</v>
      </c>
      <c r="AD5" s="28">
        <f>IF(MONTH(DATE(CalYear,2,28))=2,28,"")</f>
        <v>0</v>
      </c>
      <c r="AE5" s="28">
        <f>IF(MONTH(DATE(CalYear,2,29))=2,29,"")</f>
        <v>0</v>
      </c>
      <c r="AF5" s="28">
        <f>IF(MONTH(DATE(CalYear,2,30))=2,30,"")</f>
        <v>0</v>
      </c>
      <c r="AG5" s="28">
        <f>IF(MONTH(DATE(CalYear,2,31))=2,31,"")</f>
        <v>0</v>
      </c>
      <c r="AI5" s="22"/>
      <c r="AJ5" s="23"/>
      <c r="AK5" s="24"/>
      <c r="AL5" s="25"/>
      <c r="AM5" s="26"/>
    </row>
    <row r="6" spans="2:39" ht="17" customHeight="1">
      <c r="B6" s="29">
        <f>IF(Summary!B6="","",Summary!B6)</f>
        <v>0</v>
      </c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  <c r="AE6" s="30"/>
      <c r="AF6" s="30"/>
      <c r="AG6" s="30"/>
      <c r="AI6" s="31">
        <f>SUMPRODUCT(COUNTIF(C6:AG6,Codes)*(Codes&lt;&gt;"")*(CodeBucket="Vacation")*CodeDays)</f>
        <v>0</v>
      </c>
      <c r="AJ6" s="32">
        <f>SUMPRODUCT(COUNTIF(C6:AG6,Codes)*(Codes&lt;&gt;"")*(CodeBucket="Sick")*CodeDays)</f>
        <v>0</v>
      </c>
      <c r="AK6" s="33">
        <f>SUMPRODUCT(COUNTIF(C6:AG6,Codes)*(Codes&lt;&gt;"")*(CodeBucket="Personal")*CodeDays)</f>
        <v>0</v>
      </c>
      <c r="AL6" s="34">
        <f>SUMPRODUCT(COUNTIF(C6:AG6,Codes)*(Codes&lt;&gt;"")*(CodeBucket="Other")*CodeDays)</f>
        <v>0</v>
      </c>
      <c r="AM6" s="35">
        <f>SUM(AI6:AL6)</f>
        <v>0</v>
      </c>
    </row>
    <row r="7" spans="2:39" ht="17" customHeight="1">
      <c r="B7" s="29">
        <f>IF(Summary!B7="","",Summary!B7)</f>
        <v>0</v>
      </c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 t="s">
        <v>7</v>
      </c>
      <c r="S7" s="30" t="s">
        <v>7</v>
      </c>
      <c r="T7" s="30" t="s">
        <v>7</v>
      </c>
      <c r="U7" s="30" t="s">
        <v>7</v>
      </c>
      <c r="V7" s="30"/>
      <c r="W7" s="30"/>
      <c r="X7" s="30"/>
      <c r="Y7" s="30"/>
      <c r="Z7" s="30"/>
      <c r="AA7" s="30"/>
      <c r="AB7" s="30"/>
      <c r="AC7" s="30"/>
      <c r="AD7" s="30"/>
      <c r="AE7" s="30"/>
      <c r="AF7" s="30"/>
      <c r="AG7" s="30"/>
      <c r="AI7" s="31">
        <f>SUMPRODUCT(COUNTIF(C7:AG7,Codes)*(Codes&lt;&gt;"")*(CodeBucket="Vacation")*CodeDays)</f>
        <v>0</v>
      </c>
      <c r="AJ7" s="32">
        <f>SUMPRODUCT(COUNTIF(C7:AG7,Codes)*(Codes&lt;&gt;"")*(CodeBucket="Sick")*CodeDays)</f>
        <v>0</v>
      </c>
      <c r="AK7" s="33">
        <f>SUMPRODUCT(COUNTIF(C7:AG7,Codes)*(Codes&lt;&gt;"")*(CodeBucket="Personal")*CodeDays)</f>
        <v>0</v>
      </c>
      <c r="AL7" s="34">
        <f>SUMPRODUCT(COUNTIF(C7:AG7,Codes)*(Codes&lt;&gt;"")*(CodeBucket="Other")*CodeDays)</f>
        <v>0</v>
      </c>
      <c r="AM7" s="35">
        <f>SUM(AI7:AL7)</f>
        <v>0</v>
      </c>
    </row>
    <row r="8" spans="2:39" ht="17" customHeight="1">
      <c r="B8" s="29">
        <f>IF(Summary!B8="","",Summary!B8)</f>
        <v>0</v>
      </c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30"/>
      <c r="AA8" s="30"/>
      <c r="AB8" s="30" t="s">
        <v>11</v>
      </c>
      <c r="AC8" s="30"/>
      <c r="AD8" s="30"/>
      <c r="AE8" s="30"/>
      <c r="AF8" s="30"/>
      <c r="AG8" s="30"/>
      <c r="AI8" s="31">
        <f>SUMPRODUCT(COUNTIF(C8:AG8,Codes)*(Codes&lt;&gt;"")*(CodeBucket="Vacation")*CodeDays)</f>
        <v>0</v>
      </c>
      <c r="AJ8" s="32">
        <f>SUMPRODUCT(COUNTIF(C8:AG8,Codes)*(Codes&lt;&gt;"")*(CodeBucket="Sick")*CodeDays)</f>
        <v>0</v>
      </c>
      <c r="AK8" s="33">
        <f>SUMPRODUCT(COUNTIF(C8:AG8,Codes)*(Codes&lt;&gt;"")*(CodeBucket="Personal")*CodeDays)</f>
        <v>0</v>
      </c>
      <c r="AL8" s="34">
        <f>SUMPRODUCT(COUNTIF(C8:AG8,Codes)*(Codes&lt;&gt;"")*(CodeBucket="Other")*CodeDays)</f>
        <v>0</v>
      </c>
      <c r="AM8" s="35">
        <f>SUM(AI8:AL8)</f>
        <v>0</v>
      </c>
    </row>
    <row r="9" spans="2:39" ht="17" customHeight="1">
      <c r="B9" s="29">
        <f>IF(Summary!B9="","",Summary!B9)</f>
        <v>0</v>
      </c>
      <c r="C9" s="30"/>
      <c r="D9" s="30"/>
      <c r="E9" s="30"/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  <c r="AB9" s="30"/>
      <c r="AC9" s="30"/>
      <c r="AD9" s="30"/>
      <c r="AE9" s="30"/>
      <c r="AF9" s="30"/>
      <c r="AG9" s="30"/>
      <c r="AI9" s="31">
        <f>SUMPRODUCT(COUNTIF(C9:AG9,Codes)*(Codes&lt;&gt;"")*(CodeBucket="Vacation")*CodeDays)</f>
        <v>0</v>
      </c>
      <c r="AJ9" s="32">
        <f>SUMPRODUCT(COUNTIF(C9:AG9,Codes)*(Codes&lt;&gt;"")*(CodeBucket="Sick")*CodeDays)</f>
        <v>0</v>
      </c>
      <c r="AK9" s="33">
        <f>SUMPRODUCT(COUNTIF(C9:AG9,Codes)*(Codes&lt;&gt;"")*(CodeBucket="Personal")*CodeDays)</f>
        <v>0</v>
      </c>
      <c r="AL9" s="34">
        <f>SUMPRODUCT(COUNTIF(C9:AG9,Codes)*(Codes&lt;&gt;"")*(CodeBucket="Other")*CodeDays)</f>
        <v>0</v>
      </c>
      <c r="AM9" s="35">
        <f>SUM(AI9:AL9)</f>
        <v>0</v>
      </c>
    </row>
    <row r="10" spans="2:39" ht="17" customHeight="1">
      <c r="B10" s="29">
        <f>IF(Summary!B10="","",Summary!B10)</f>
        <v>0</v>
      </c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  <c r="AA10" s="30"/>
      <c r="AB10" s="30"/>
      <c r="AC10" s="30"/>
      <c r="AD10" s="30"/>
      <c r="AE10" s="30"/>
      <c r="AF10" s="30"/>
      <c r="AG10" s="30"/>
      <c r="AI10" s="31">
        <f>SUMPRODUCT(COUNTIF(C10:AG10,Codes)*(Codes&lt;&gt;"")*(CodeBucket="Vacation")*CodeDays)</f>
        <v>0</v>
      </c>
      <c r="AJ10" s="32">
        <f>SUMPRODUCT(COUNTIF(C10:AG10,Codes)*(Codes&lt;&gt;"")*(CodeBucket="Sick")*CodeDays)</f>
        <v>0</v>
      </c>
      <c r="AK10" s="33">
        <f>SUMPRODUCT(COUNTIF(C10:AG10,Codes)*(Codes&lt;&gt;"")*(CodeBucket="Personal")*CodeDays)</f>
        <v>0</v>
      </c>
      <c r="AL10" s="34">
        <f>SUMPRODUCT(COUNTIF(C10:AG10,Codes)*(Codes&lt;&gt;"")*(CodeBucket="Other")*CodeDays)</f>
        <v>0</v>
      </c>
      <c r="AM10" s="35">
        <f>SUM(AI10:AL10)</f>
        <v>0</v>
      </c>
    </row>
    <row r="11" spans="2:39" ht="17" customHeight="1">
      <c r="B11" s="29">
        <f>IF(Summary!B11="","",Summary!B11)</f>
        <v>0</v>
      </c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  <c r="AA11" s="30"/>
      <c r="AB11" s="30"/>
      <c r="AC11" s="30"/>
      <c r="AD11" s="30"/>
      <c r="AE11" s="30"/>
      <c r="AF11" s="30"/>
      <c r="AG11" s="30"/>
      <c r="AI11" s="31">
        <f>SUMPRODUCT(COUNTIF(C11:AG11,Codes)*(Codes&lt;&gt;"")*(CodeBucket="Vacation")*CodeDays)</f>
        <v>0</v>
      </c>
      <c r="AJ11" s="32">
        <f>SUMPRODUCT(COUNTIF(C11:AG11,Codes)*(Codes&lt;&gt;"")*(CodeBucket="Sick")*CodeDays)</f>
        <v>0</v>
      </c>
      <c r="AK11" s="33">
        <f>SUMPRODUCT(COUNTIF(C11:AG11,Codes)*(Codes&lt;&gt;"")*(CodeBucket="Personal")*CodeDays)</f>
        <v>0</v>
      </c>
      <c r="AL11" s="34">
        <f>SUMPRODUCT(COUNTIF(C11:AG11,Codes)*(Codes&lt;&gt;"")*(CodeBucket="Other")*CodeDays)</f>
        <v>0</v>
      </c>
      <c r="AM11" s="35">
        <f>SUM(AI11:AL11)</f>
        <v>0</v>
      </c>
    </row>
    <row r="12" spans="2:39" ht="17" customHeight="1">
      <c r="B12" s="29">
        <f>IF(Summary!B12="","",Summary!B12)</f>
        <v>0</v>
      </c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0"/>
      <c r="S12" s="30"/>
      <c r="T12" s="30"/>
      <c r="U12" s="30"/>
      <c r="V12" s="30"/>
      <c r="W12" s="30"/>
      <c r="X12" s="30"/>
      <c r="Y12" s="30"/>
      <c r="Z12" s="30"/>
      <c r="AA12" s="30"/>
      <c r="AB12" s="30"/>
      <c r="AC12" s="30"/>
      <c r="AD12" s="30"/>
      <c r="AE12" s="30"/>
      <c r="AF12" s="30"/>
      <c r="AG12" s="30"/>
      <c r="AI12" s="31">
        <f>SUMPRODUCT(COUNTIF(C12:AG12,Codes)*(Codes&lt;&gt;"")*(CodeBucket="Vacation")*CodeDays)</f>
        <v>0</v>
      </c>
      <c r="AJ12" s="32">
        <f>SUMPRODUCT(COUNTIF(C12:AG12,Codes)*(Codes&lt;&gt;"")*(CodeBucket="Sick")*CodeDays)</f>
        <v>0</v>
      </c>
      <c r="AK12" s="33">
        <f>SUMPRODUCT(COUNTIF(C12:AG12,Codes)*(Codes&lt;&gt;"")*(CodeBucket="Personal")*CodeDays)</f>
        <v>0</v>
      </c>
      <c r="AL12" s="34">
        <f>SUMPRODUCT(COUNTIF(C12:AG12,Codes)*(Codes&lt;&gt;"")*(CodeBucket="Other")*CodeDays)</f>
        <v>0</v>
      </c>
      <c r="AM12" s="35">
        <f>SUM(AI12:AL12)</f>
        <v>0</v>
      </c>
    </row>
    <row r="13" spans="2:39" ht="17" customHeight="1">
      <c r="B13" s="29">
        <f>IF(Summary!B13="","",Summary!B13)</f>
        <v>0</v>
      </c>
      <c r="C13" s="30"/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30"/>
      <c r="T13" s="30"/>
      <c r="U13" s="30"/>
      <c r="V13" s="30"/>
      <c r="W13" s="30"/>
      <c r="X13" s="30"/>
      <c r="Y13" s="30"/>
      <c r="Z13" s="30"/>
      <c r="AA13" s="30"/>
      <c r="AB13" s="30"/>
      <c r="AC13" s="30"/>
      <c r="AD13" s="30"/>
      <c r="AE13" s="30"/>
      <c r="AF13" s="30"/>
      <c r="AG13" s="30"/>
      <c r="AI13" s="31">
        <f>SUMPRODUCT(COUNTIF(C13:AG13,Codes)*(Codes&lt;&gt;"")*(CodeBucket="Vacation")*CodeDays)</f>
        <v>0</v>
      </c>
      <c r="AJ13" s="32">
        <f>SUMPRODUCT(COUNTIF(C13:AG13,Codes)*(Codes&lt;&gt;"")*(CodeBucket="Sick")*CodeDays)</f>
        <v>0</v>
      </c>
      <c r="AK13" s="33">
        <f>SUMPRODUCT(COUNTIF(C13:AG13,Codes)*(Codes&lt;&gt;"")*(CodeBucket="Personal")*CodeDays)</f>
        <v>0</v>
      </c>
      <c r="AL13" s="34">
        <f>SUMPRODUCT(COUNTIF(C13:AG13,Codes)*(Codes&lt;&gt;"")*(CodeBucket="Other")*CodeDays)</f>
        <v>0</v>
      </c>
      <c r="AM13" s="35">
        <f>SUM(AI13:AL13)</f>
        <v>0</v>
      </c>
    </row>
    <row r="14" spans="2:39" ht="17" customHeight="1">
      <c r="B14" s="29">
        <f>IF(Summary!B14="","",Summary!B14)</f>
        <v>0</v>
      </c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30"/>
      <c r="U14" s="30"/>
      <c r="V14" s="30"/>
      <c r="W14" s="30"/>
      <c r="X14" s="30"/>
      <c r="Y14" s="30"/>
      <c r="Z14" s="30"/>
      <c r="AA14" s="30"/>
      <c r="AB14" s="30"/>
      <c r="AC14" s="30"/>
      <c r="AD14" s="30"/>
      <c r="AE14" s="30"/>
      <c r="AF14" s="30"/>
      <c r="AG14" s="30"/>
      <c r="AI14" s="31">
        <f>SUMPRODUCT(COUNTIF(C14:AG14,Codes)*(Codes&lt;&gt;"")*(CodeBucket="Vacation")*CodeDays)</f>
        <v>0</v>
      </c>
      <c r="AJ14" s="32">
        <f>SUMPRODUCT(COUNTIF(C14:AG14,Codes)*(Codes&lt;&gt;"")*(CodeBucket="Sick")*CodeDays)</f>
        <v>0</v>
      </c>
      <c r="AK14" s="33">
        <f>SUMPRODUCT(COUNTIF(C14:AG14,Codes)*(Codes&lt;&gt;"")*(CodeBucket="Personal")*CodeDays)</f>
        <v>0</v>
      </c>
      <c r="AL14" s="34">
        <f>SUMPRODUCT(COUNTIF(C14:AG14,Codes)*(Codes&lt;&gt;"")*(CodeBucket="Other")*CodeDays)</f>
        <v>0</v>
      </c>
      <c r="AM14" s="35">
        <f>SUM(AI14:AL14)</f>
        <v>0</v>
      </c>
    </row>
    <row r="15" spans="2:39" ht="17" customHeight="1">
      <c r="B15" s="29">
        <f>IF(Summary!B15="","",Summary!B15)</f>
        <v>0</v>
      </c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0"/>
      <c r="AA15" s="30"/>
      <c r="AB15" s="30"/>
      <c r="AC15" s="30"/>
      <c r="AD15" s="30"/>
      <c r="AE15" s="30"/>
      <c r="AF15" s="30"/>
      <c r="AG15" s="30"/>
      <c r="AI15" s="31">
        <f>SUMPRODUCT(COUNTIF(C15:AG15,Codes)*(Codes&lt;&gt;"")*(CodeBucket="Vacation")*CodeDays)</f>
        <v>0</v>
      </c>
      <c r="AJ15" s="32">
        <f>SUMPRODUCT(COUNTIF(C15:AG15,Codes)*(Codes&lt;&gt;"")*(CodeBucket="Sick")*CodeDays)</f>
        <v>0</v>
      </c>
      <c r="AK15" s="33">
        <f>SUMPRODUCT(COUNTIF(C15:AG15,Codes)*(Codes&lt;&gt;"")*(CodeBucket="Personal")*CodeDays)</f>
        <v>0</v>
      </c>
      <c r="AL15" s="34">
        <f>SUMPRODUCT(COUNTIF(C15:AG15,Codes)*(Codes&lt;&gt;"")*(CodeBucket="Other")*CodeDays)</f>
        <v>0</v>
      </c>
      <c r="AM15" s="35">
        <f>SUM(AI15:AL15)</f>
        <v>0</v>
      </c>
    </row>
    <row r="16" spans="2:39" ht="17" customHeight="1">
      <c r="B16" s="29">
        <f>IF(Summary!B16="","",Summary!B16)</f>
        <v>0</v>
      </c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0"/>
      <c r="R16" s="30"/>
      <c r="S16" s="30"/>
      <c r="T16" s="30"/>
      <c r="U16" s="30"/>
      <c r="V16" s="30"/>
      <c r="W16" s="30"/>
      <c r="X16" s="30"/>
      <c r="Y16" s="30"/>
      <c r="Z16" s="30"/>
      <c r="AA16" s="30"/>
      <c r="AB16" s="30"/>
      <c r="AC16" s="30"/>
      <c r="AD16" s="30"/>
      <c r="AE16" s="30"/>
      <c r="AF16" s="30"/>
      <c r="AG16" s="30"/>
      <c r="AI16" s="31">
        <f>SUMPRODUCT(COUNTIF(C16:AG16,Codes)*(Codes&lt;&gt;"")*(CodeBucket="Vacation")*CodeDays)</f>
        <v>0</v>
      </c>
      <c r="AJ16" s="32">
        <f>SUMPRODUCT(COUNTIF(C16:AG16,Codes)*(Codes&lt;&gt;"")*(CodeBucket="Sick")*CodeDays)</f>
        <v>0</v>
      </c>
      <c r="AK16" s="33">
        <f>SUMPRODUCT(COUNTIF(C16:AG16,Codes)*(Codes&lt;&gt;"")*(CodeBucket="Personal")*CodeDays)</f>
        <v>0</v>
      </c>
      <c r="AL16" s="34">
        <f>SUMPRODUCT(COUNTIF(C16:AG16,Codes)*(Codes&lt;&gt;"")*(CodeBucket="Other")*CodeDays)</f>
        <v>0</v>
      </c>
      <c r="AM16" s="35">
        <f>SUM(AI16:AL16)</f>
        <v>0</v>
      </c>
    </row>
    <row r="17" spans="2:39" ht="17" customHeight="1">
      <c r="B17" s="29">
        <f>IF(Summary!B17="","",Summary!B17)</f>
        <v>0</v>
      </c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  <c r="O17" s="30"/>
      <c r="P17" s="30"/>
      <c r="Q17" s="30"/>
      <c r="R17" s="30"/>
      <c r="S17" s="30"/>
      <c r="T17" s="30"/>
      <c r="U17" s="30"/>
      <c r="V17" s="30"/>
      <c r="W17" s="30"/>
      <c r="X17" s="30"/>
      <c r="Y17" s="30"/>
      <c r="Z17" s="30"/>
      <c r="AA17" s="30"/>
      <c r="AB17" s="30"/>
      <c r="AC17" s="30"/>
      <c r="AD17" s="30"/>
      <c r="AE17" s="30"/>
      <c r="AF17" s="30"/>
      <c r="AG17" s="30"/>
      <c r="AI17" s="31">
        <f>SUMPRODUCT(COUNTIF(C17:AG17,Codes)*(Codes&lt;&gt;"")*(CodeBucket="Vacation")*CodeDays)</f>
        <v>0</v>
      </c>
      <c r="AJ17" s="32">
        <f>SUMPRODUCT(COUNTIF(C17:AG17,Codes)*(Codes&lt;&gt;"")*(CodeBucket="Sick")*CodeDays)</f>
        <v>0</v>
      </c>
      <c r="AK17" s="33">
        <f>SUMPRODUCT(COUNTIF(C17:AG17,Codes)*(Codes&lt;&gt;"")*(CodeBucket="Personal")*CodeDays)</f>
        <v>0</v>
      </c>
      <c r="AL17" s="34">
        <f>SUMPRODUCT(COUNTIF(C17:AG17,Codes)*(Codes&lt;&gt;"")*(CodeBucket="Other")*CodeDays)</f>
        <v>0</v>
      </c>
      <c r="AM17" s="35">
        <f>SUM(AI17:AL17)</f>
        <v>0</v>
      </c>
    </row>
    <row r="18" spans="2:39" ht="17" customHeight="1">
      <c r="B18" s="29">
        <f>IF(Summary!B18="","",Summary!B18)</f>
        <v>0</v>
      </c>
      <c r="C18" s="30"/>
      <c r="D18" s="30"/>
      <c r="E18" s="30"/>
      <c r="F18" s="30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30"/>
      <c r="R18" s="30"/>
      <c r="S18" s="30"/>
      <c r="T18" s="30"/>
      <c r="U18" s="30"/>
      <c r="V18" s="30"/>
      <c r="W18" s="30"/>
      <c r="X18" s="30"/>
      <c r="Y18" s="30"/>
      <c r="Z18" s="30"/>
      <c r="AA18" s="30"/>
      <c r="AB18" s="30"/>
      <c r="AC18" s="30"/>
      <c r="AD18" s="30"/>
      <c r="AE18" s="30"/>
      <c r="AF18" s="30"/>
      <c r="AG18" s="30"/>
      <c r="AI18" s="31">
        <f>SUMPRODUCT(COUNTIF(C18:AG18,Codes)*(Codes&lt;&gt;"")*(CodeBucket="Vacation")*CodeDays)</f>
        <v>0</v>
      </c>
      <c r="AJ18" s="32">
        <f>SUMPRODUCT(COUNTIF(C18:AG18,Codes)*(Codes&lt;&gt;"")*(CodeBucket="Sick")*CodeDays)</f>
        <v>0</v>
      </c>
      <c r="AK18" s="33">
        <f>SUMPRODUCT(COUNTIF(C18:AG18,Codes)*(Codes&lt;&gt;"")*(CodeBucket="Personal")*CodeDays)</f>
        <v>0</v>
      </c>
      <c r="AL18" s="34">
        <f>SUMPRODUCT(COUNTIF(C18:AG18,Codes)*(Codes&lt;&gt;"")*(CodeBucket="Other")*CodeDays)</f>
        <v>0</v>
      </c>
      <c r="AM18" s="35">
        <f>SUM(AI18:AL18)</f>
        <v>0</v>
      </c>
    </row>
    <row r="19" spans="2:39" ht="17" customHeight="1">
      <c r="B19" s="29">
        <f>IF(Summary!B19="","",Summary!B19)</f>
        <v>0</v>
      </c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30"/>
      <c r="AE19" s="30"/>
      <c r="AF19" s="30"/>
      <c r="AG19" s="30"/>
      <c r="AI19" s="31">
        <f>SUMPRODUCT(COUNTIF(C19:AG19,Codes)*(Codes&lt;&gt;"")*(CodeBucket="Vacation")*CodeDays)</f>
        <v>0</v>
      </c>
      <c r="AJ19" s="32">
        <f>SUMPRODUCT(COUNTIF(C19:AG19,Codes)*(Codes&lt;&gt;"")*(CodeBucket="Sick")*CodeDays)</f>
        <v>0</v>
      </c>
      <c r="AK19" s="33">
        <f>SUMPRODUCT(COUNTIF(C19:AG19,Codes)*(Codes&lt;&gt;"")*(CodeBucket="Personal")*CodeDays)</f>
        <v>0</v>
      </c>
      <c r="AL19" s="34">
        <f>SUMPRODUCT(COUNTIF(C19:AG19,Codes)*(Codes&lt;&gt;"")*(CodeBucket="Other")*CodeDays)</f>
        <v>0</v>
      </c>
      <c r="AM19" s="35">
        <f>SUM(AI19:AL19)</f>
        <v>0</v>
      </c>
    </row>
    <row r="20" spans="2:39" ht="17" customHeight="1">
      <c r="B20" s="29">
        <f>IF(Summary!B20="","",Summary!B20)</f>
        <v>0</v>
      </c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0"/>
      <c r="V20" s="30"/>
      <c r="W20" s="30"/>
      <c r="X20" s="30"/>
      <c r="Y20" s="30"/>
      <c r="Z20" s="30"/>
      <c r="AA20" s="30"/>
      <c r="AB20" s="30"/>
      <c r="AC20" s="30"/>
      <c r="AD20" s="30"/>
      <c r="AE20" s="30"/>
      <c r="AF20" s="30"/>
      <c r="AG20" s="30"/>
      <c r="AI20" s="31">
        <f>SUMPRODUCT(COUNTIF(C20:AG20,Codes)*(Codes&lt;&gt;"")*(CodeBucket="Vacation")*CodeDays)</f>
        <v>0</v>
      </c>
      <c r="AJ20" s="32">
        <f>SUMPRODUCT(COUNTIF(C20:AG20,Codes)*(Codes&lt;&gt;"")*(CodeBucket="Sick")*CodeDays)</f>
        <v>0</v>
      </c>
      <c r="AK20" s="33">
        <f>SUMPRODUCT(COUNTIF(C20:AG20,Codes)*(Codes&lt;&gt;"")*(CodeBucket="Personal")*CodeDays)</f>
        <v>0</v>
      </c>
      <c r="AL20" s="34">
        <f>SUMPRODUCT(COUNTIF(C20:AG20,Codes)*(Codes&lt;&gt;"")*(CodeBucket="Other")*CodeDays)</f>
        <v>0</v>
      </c>
      <c r="AM20" s="35">
        <f>SUM(AI20:AL20)</f>
        <v>0</v>
      </c>
    </row>
    <row r="21" spans="2:39" ht="17" customHeight="1">
      <c r="B21" s="29">
        <f>IF(Summary!B21="","",Summary!B21)</f>
        <v>0</v>
      </c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0"/>
      <c r="P21" s="30"/>
      <c r="Q21" s="30"/>
      <c r="R21" s="30"/>
      <c r="S21" s="30"/>
      <c r="T21" s="30"/>
      <c r="U21" s="30"/>
      <c r="V21" s="30"/>
      <c r="W21" s="30"/>
      <c r="X21" s="30"/>
      <c r="Y21" s="30"/>
      <c r="Z21" s="30"/>
      <c r="AA21" s="30"/>
      <c r="AB21" s="30"/>
      <c r="AC21" s="30"/>
      <c r="AD21" s="30"/>
      <c r="AE21" s="30"/>
      <c r="AF21" s="30"/>
      <c r="AG21" s="30"/>
      <c r="AI21" s="31">
        <f>SUMPRODUCT(COUNTIF(C21:AG21,Codes)*(Codes&lt;&gt;"")*(CodeBucket="Vacation")*CodeDays)</f>
        <v>0</v>
      </c>
      <c r="AJ21" s="32">
        <f>SUMPRODUCT(COUNTIF(C21:AG21,Codes)*(Codes&lt;&gt;"")*(CodeBucket="Sick")*CodeDays)</f>
        <v>0</v>
      </c>
      <c r="AK21" s="33">
        <f>SUMPRODUCT(COUNTIF(C21:AG21,Codes)*(Codes&lt;&gt;"")*(CodeBucket="Personal")*CodeDays)</f>
        <v>0</v>
      </c>
      <c r="AL21" s="34">
        <f>SUMPRODUCT(COUNTIF(C21:AG21,Codes)*(Codes&lt;&gt;"")*(CodeBucket="Other")*CodeDays)</f>
        <v>0</v>
      </c>
      <c r="AM21" s="35">
        <f>SUM(AI21:AL21)</f>
        <v>0</v>
      </c>
    </row>
    <row r="22" spans="2:39" ht="17" customHeight="1">
      <c r="B22" s="29">
        <f>IF(Summary!B22="","",Summary!B22)</f>
        <v>0</v>
      </c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0"/>
      <c r="W22" s="30"/>
      <c r="X22" s="30"/>
      <c r="Y22" s="30"/>
      <c r="Z22" s="30"/>
      <c r="AA22" s="30"/>
      <c r="AB22" s="30"/>
      <c r="AC22" s="30"/>
      <c r="AD22" s="30"/>
      <c r="AE22" s="30"/>
      <c r="AF22" s="30"/>
      <c r="AG22" s="30"/>
      <c r="AI22" s="31">
        <f>SUMPRODUCT(COUNTIF(C22:AG22,Codes)*(Codes&lt;&gt;"")*(CodeBucket="Vacation")*CodeDays)</f>
        <v>0</v>
      </c>
      <c r="AJ22" s="32">
        <f>SUMPRODUCT(COUNTIF(C22:AG22,Codes)*(Codes&lt;&gt;"")*(CodeBucket="Sick")*CodeDays)</f>
        <v>0</v>
      </c>
      <c r="AK22" s="33">
        <f>SUMPRODUCT(COUNTIF(C22:AG22,Codes)*(Codes&lt;&gt;"")*(CodeBucket="Personal")*CodeDays)</f>
        <v>0</v>
      </c>
      <c r="AL22" s="34">
        <f>SUMPRODUCT(COUNTIF(C22:AG22,Codes)*(Codes&lt;&gt;"")*(CodeBucket="Other")*CodeDays)</f>
        <v>0</v>
      </c>
      <c r="AM22" s="35">
        <f>SUM(AI22:AL22)</f>
        <v>0</v>
      </c>
    </row>
    <row r="23" spans="2:39" ht="17" customHeight="1">
      <c r="B23" s="29">
        <f>IF(Summary!B23="","",Summary!B23)</f>
        <v>0</v>
      </c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30"/>
      <c r="S23" s="30"/>
      <c r="T23" s="30"/>
      <c r="U23" s="30"/>
      <c r="V23" s="30"/>
      <c r="W23" s="30"/>
      <c r="X23" s="30"/>
      <c r="Y23" s="30"/>
      <c r="Z23" s="30"/>
      <c r="AA23" s="30"/>
      <c r="AB23" s="30"/>
      <c r="AC23" s="30"/>
      <c r="AD23" s="30"/>
      <c r="AE23" s="30"/>
      <c r="AF23" s="30"/>
      <c r="AG23" s="30"/>
      <c r="AI23" s="31">
        <f>SUMPRODUCT(COUNTIF(C23:AG23,Codes)*(Codes&lt;&gt;"")*(CodeBucket="Vacation")*CodeDays)</f>
        <v>0</v>
      </c>
      <c r="AJ23" s="32">
        <f>SUMPRODUCT(COUNTIF(C23:AG23,Codes)*(Codes&lt;&gt;"")*(CodeBucket="Sick")*CodeDays)</f>
        <v>0</v>
      </c>
      <c r="AK23" s="33">
        <f>SUMPRODUCT(COUNTIF(C23:AG23,Codes)*(Codes&lt;&gt;"")*(CodeBucket="Personal")*CodeDays)</f>
        <v>0</v>
      </c>
      <c r="AL23" s="34">
        <f>SUMPRODUCT(COUNTIF(C23:AG23,Codes)*(Codes&lt;&gt;"")*(CodeBucket="Other")*CodeDays)</f>
        <v>0</v>
      </c>
      <c r="AM23" s="35">
        <f>SUM(AI23:AL23)</f>
        <v>0</v>
      </c>
    </row>
    <row r="24" spans="2:39" ht="17" customHeight="1">
      <c r="B24" s="29">
        <f>IF(Summary!B24="","",Summary!B24)</f>
        <v>0</v>
      </c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30"/>
      <c r="S24" s="30"/>
      <c r="T24" s="30"/>
      <c r="U24" s="30"/>
      <c r="V24" s="30"/>
      <c r="W24" s="30"/>
      <c r="X24" s="30"/>
      <c r="Y24" s="30"/>
      <c r="Z24" s="30"/>
      <c r="AA24" s="30"/>
      <c r="AB24" s="30"/>
      <c r="AC24" s="30"/>
      <c r="AD24" s="30"/>
      <c r="AE24" s="30"/>
      <c r="AF24" s="30"/>
      <c r="AG24" s="30"/>
      <c r="AI24" s="31">
        <f>SUMPRODUCT(COUNTIF(C24:AG24,Codes)*(Codes&lt;&gt;"")*(CodeBucket="Vacation")*CodeDays)</f>
        <v>0</v>
      </c>
      <c r="AJ24" s="32">
        <f>SUMPRODUCT(COUNTIF(C24:AG24,Codes)*(Codes&lt;&gt;"")*(CodeBucket="Sick")*CodeDays)</f>
        <v>0</v>
      </c>
      <c r="AK24" s="33">
        <f>SUMPRODUCT(COUNTIF(C24:AG24,Codes)*(Codes&lt;&gt;"")*(CodeBucket="Personal")*CodeDays)</f>
        <v>0</v>
      </c>
      <c r="AL24" s="34">
        <f>SUMPRODUCT(COUNTIF(C24:AG24,Codes)*(Codes&lt;&gt;"")*(CodeBucket="Other")*CodeDays)</f>
        <v>0</v>
      </c>
      <c r="AM24" s="35">
        <f>SUM(AI24:AL24)</f>
        <v>0</v>
      </c>
    </row>
    <row r="25" spans="2:39" ht="17" customHeight="1">
      <c r="B25" s="29">
        <f>IF(Summary!B25="","",Summary!B25)</f>
        <v>0</v>
      </c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I25" s="31">
        <f>SUMPRODUCT(COUNTIF(C25:AG25,Codes)*(Codes&lt;&gt;"")*(CodeBucket="Vacation")*CodeDays)</f>
        <v>0</v>
      </c>
      <c r="AJ25" s="32">
        <f>SUMPRODUCT(COUNTIF(C25:AG25,Codes)*(Codes&lt;&gt;"")*(CodeBucket="Sick")*CodeDays)</f>
        <v>0</v>
      </c>
      <c r="AK25" s="33">
        <f>SUMPRODUCT(COUNTIF(C25:AG25,Codes)*(Codes&lt;&gt;"")*(CodeBucket="Personal")*CodeDays)</f>
        <v>0</v>
      </c>
      <c r="AL25" s="34">
        <f>SUMPRODUCT(COUNTIF(C25:AG25,Codes)*(Codes&lt;&gt;"")*(CodeBucket="Other")*CodeDays)</f>
        <v>0</v>
      </c>
      <c r="AM25" s="35">
        <f>SUM(AI25:AL25)</f>
        <v>0</v>
      </c>
    </row>
    <row r="26" spans="2:39" ht="17" customHeight="1">
      <c r="B26" s="29">
        <f>IF(Summary!B26="","",Summary!B26)</f>
        <v>0</v>
      </c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I26" s="31">
        <f>SUMPRODUCT(COUNTIF(C26:AG26,Codes)*(Codes&lt;&gt;"")*(CodeBucket="Vacation")*CodeDays)</f>
        <v>0</v>
      </c>
      <c r="AJ26" s="32">
        <f>SUMPRODUCT(COUNTIF(C26:AG26,Codes)*(Codes&lt;&gt;"")*(CodeBucket="Sick")*CodeDays)</f>
        <v>0</v>
      </c>
      <c r="AK26" s="33">
        <f>SUMPRODUCT(COUNTIF(C26:AG26,Codes)*(Codes&lt;&gt;"")*(CodeBucket="Personal")*CodeDays)</f>
        <v>0</v>
      </c>
      <c r="AL26" s="34">
        <f>SUMPRODUCT(COUNTIF(C26:AG26,Codes)*(Codes&lt;&gt;"")*(CodeBucket="Other")*CodeDays)</f>
        <v>0</v>
      </c>
      <c r="AM26" s="35">
        <f>SUM(AI26:AL26)</f>
        <v>0</v>
      </c>
    </row>
    <row r="27" spans="2:39" ht="17" customHeight="1">
      <c r="B27" s="29">
        <f>IF(Summary!B27="","",Summary!B27)</f>
        <v>0</v>
      </c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  <c r="AD27" s="30"/>
      <c r="AE27" s="30"/>
      <c r="AF27" s="30"/>
      <c r="AG27" s="30"/>
      <c r="AI27" s="31">
        <f>SUMPRODUCT(COUNTIF(C27:AG27,Codes)*(Codes&lt;&gt;"")*(CodeBucket="Vacation")*CodeDays)</f>
        <v>0</v>
      </c>
      <c r="AJ27" s="32">
        <f>SUMPRODUCT(COUNTIF(C27:AG27,Codes)*(Codes&lt;&gt;"")*(CodeBucket="Sick")*CodeDays)</f>
        <v>0</v>
      </c>
      <c r="AK27" s="33">
        <f>SUMPRODUCT(COUNTIF(C27:AG27,Codes)*(Codes&lt;&gt;"")*(CodeBucket="Personal")*CodeDays)</f>
        <v>0</v>
      </c>
      <c r="AL27" s="34">
        <f>SUMPRODUCT(COUNTIF(C27:AG27,Codes)*(Codes&lt;&gt;"")*(CodeBucket="Other")*CodeDays)</f>
        <v>0</v>
      </c>
      <c r="AM27" s="35">
        <f>SUM(AI27:AL27)</f>
        <v>0</v>
      </c>
    </row>
    <row r="28" spans="2:39" ht="17" customHeight="1">
      <c r="B28" s="29">
        <f>IF(Summary!B28="","",Summary!B28)</f>
        <v>0</v>
      </c>
      <c r="C28" s="30"/>
      <c r="D28" s="30"/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0"/>
      <c r="P28" s="30"/>
      <c r="Q28" s="30"/>
      <c r="R28" s="30"/>
      <c r="S28" s="30"/>
      <c r="T28" s="30"/>
      <c r="U28" s="30"/>
      <c r="V28" s="30"/>
      <c r="W28" s="30"/>
      <c r="X28" s="30"/>
      <c r="Y28" s="30"/>
      <c r="Z28" s="30"/>
      <c r="AA28" s="30"/>
      <c r="AB28" s="30"/>
      <c r="AC28" s="30"/>
      <c r="AD28" s="30"/>
      <c r="AE28" s="30"/>
      <c r="AF28" s="30"/>
      <c r="AG28" s="30"/>
      <c r="AI28" s="31">
        <f>SUMPRODUCT(COUNTIF(C28:AG28,Codes)*(Codes&lt;&gt;"")*(CodeBucket="Vacation")*CodeDays)</f>
        <v>0</v>
      </c>
      <c r="AJ28" s="32">
        <f>SUMPRODUCT(COUNTIF(C28:AG28,Codes)*(Codes&lt;&gt;"")*(CodeBucket="Sick")*CodeDays)</f>
        <v>0</v>
      </c>
      <c r="AK28" s="33">
        <f>SUMPRODUCT(COUNTIF(C28:AG28,Codes)*(Codes&lt;&gt;"")*(CodeBucket="Personal")*CodeDays)</f>
        <v>0</v>
      </c>
      <c r="AL28" s="34">
        <f>SUMPRODUCT(COUNTIF(C28:AG28,Codes)*(Codes&lt;&gt;"")*(CodeBucket="Other")*CodeDays)</f>
        <v>0</v>
      </c>
      <c r="AM28" s="35">
        <f>SUM(AI28:AL28)</f>
        <v>0</v>
      </c>
    </row>
    <row r="29" spans="2:39" ht="17" customHeight="1">
      <c r="B29" s="29">
        <f>IF(Summary!B29="","",Summary!B29)</f>
        <v>0</v>
      </c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30"/>
      <c r="AD29" s="30"/>
      <c r="AE29" s="30"/>
      <c r="AF29" s="30"/>
      <c r="AG29" s="30"/>
      <c r="AI29" s="31">
        <f>SUMPRODUCT(COUNTIF(C29:AG29,Codes)*(Codes&lt;&gt;"")*(CodeBucket="Vacation")*CodeDays)</f>
        <v>0</v>
      </c>
      <c r="AJ29" s="32">
        <f>SUMPRODUCT(COUNTIF(C29:AG29,Codes)*(Codes&lt;&gt;"")*(CodeBucket="Sick")*CodeDays)</f>
        <v>0</v>
      </c>
      <c r="AK29" s="33">
        <f>SUMPRODUCT(COUNTIF(C29:AG29,Codes)*(Codes&lt;&gt;"")*(CodeBucket="Personal")*CodeDays)</f>
        <v>0</v>
      </c>
      <c r="AL29" s="34">
        <f>SUMPRODUCT(COUNTIF(C29:AG29,Codes)*(Codes&lt;&gt;"")*(CodeBucket="Other")*CodeDays)</f>
        <v>0</v>
      </c>
      <c r="AM29" s="35">
        <f>SUM(AI29:AL29)</f>
        <v>0</v>
      </c>
    </row>
    <row r="30" spans="2:39" ht="17" customHeight="1">
      <c r="B30" s="29">
        <f>IF(Summary!B30="","",Summary!B30)</f>
        <v>0</v>
      </c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  <c r="AF30" s="30"/>
      <c r="AG30" s="30"/>
      <c r="AI30" s="31">
        <f>SUMPRODUCT(COUNTIF(C30:AG30,Codes)*(Codes&lt;&gt;"")*(CodeBucket="Vacation")*CodeDays)</f>
        <v>0</v>
      </c>
      <c r="AJ30" s="32">
        <f>SUMPRODUCT(COUNTIF(C30:AG30,Codes)*(Codes&lt;&gt;"")*(CodeBucket="Sick")*CodeDays)</f>
        <v>0</v>
      </c>
      <c r="AK30" s="33">
        <f>SUMPRODUCT(COUNTIF(C30:AG30,Codes)*(Codes&lt;&gt;"")*(CodeBucket="Personal")*CodeDays)</f>
        <v>0</v>
      </c>
      <c r="AL30" s="34">
        <f>SUMPRODUCT(COUNTIF(C30:AG30,Codes)*(Codes&lt;&gt;"")*(CodeBucket="Other")*CodeDays)</f>
        <v>0</v>
      </c>
      <c r="AM30" s="35">
        <f>SUM(AI30:AL30)</f>
        <v>0</v>
      </c>
    </row>
    <row r="31" spans="2:39" ht="16" customHeight="1">
      <c r="B31" s="36" t="s">
        <v>94</v>
      </c>
      <c r="C31" s="37">
        <f>IF(COUNTA(C6:C30)=0,"",COUNTA(C6:C30))</f>
        <v>0</v>
      </c>
      <c r="D31" s="37">
        <f>IF(COUNTA(D6:D30)=0,"",COUNTA(D6:D30))</f>
        <v>0</v>
      </c>
      <c r="E31" s="37">
        <f>IF(COUNTA(E6:E30)=0,"",COUNTA(E6:E30))</f>
        <v>0</v>
      </c>
      <c r="F31" s="37">
        <f>IF(COUNTA(F6:F30)=0,"",COUNTA(F6:F30))</f>
        <v>0</v>
      </c>
      <c r="G31" s="37">
        <f>IF(COUNTA(G6:G30)=0,"",COUNTA(G6:G30))</f>
        <v>0</v>
      </c>
      <c r="H31" s="37">
        <f>IF(COUNTA(H6:H30)=0,"",COUNTA(H6:H30))</f>
        <v>0</v>
      </c>
      <c r="I31" s="37">
        <f>IF(COUNTA(I6:I30)=0,"",COUNTA(I6:I30))</f>
        <v>0</v>
      </c>
      <c r="J31" s="37">
        <f>IF(COUNTA(J6:J30)=0,"",COUNTA(J6:J30))</f>
        <v>0</v>
      </c>
      <c r="K31" s="37">
        <f>IF(COUNTA(K6:K30)=0,"",COUNTA(K6:K30))</f>
        <v>0</v>
      </c>
      <c r="L31" s="37">
        <f>IF(COUNTA(L6:L30)=0,"",COUNTA(L6:L30))</f>
        <v>0</v>
      </c>
      <c r="M31" s="37">
        <f>IF(COUNTA(M6:M30)=0,"",COUNTA(M6:M30))</f>
        <v>0</v>
      </c>
      <c r="N31" s="37">
        <f>IF(COUNTA(N6:N30)=0,"",COUNTA(N6:N30))</f>
        <v>0</v>
      </c>
      <c r="O31" s="37">
        <f>IF(COUNTA(O6:O30)=0,"",COUNTA(O6:O30))</f>
        <v>0</v>
      </c>
      <c r="P31" s="37">
        <f>IF(COUNTA(P6:P30)=0,"",COUNTA(P6:P30))</f>
        <v>0</v>
      </c>
      <c r="Q31" s="37">
        <f>IF(COUNTA(Q6:Q30)=0,"",COUNTA(Q6:Q30))</f>
        <v>0</v>
      </c>
      <c r="R31" s="37">
        <f>IF(COUNTA(R6:R30)=0,"",COUNTA(R6:R30))</f>
        <v>0</v>
      </c>
      <c r="S31" s="37">
        <f>IF(COUNTA(S6:S30)=0,"",COUNTA(S6:S30))</f>
        <v>0</v>
      </c>
      <c r="T31" s="37">
        <f>IF(COUNTA(T6:T30)=0,"",COUNTA(T6:T30))</f>
        <v>0</v>
      </c>
      <c r="U31" s="37">
        <f>IF(COUNTA(U6:U30)=0,"",COUNTA(U6:U30))</f>
        <v>0</v>
      </c>
      <c r="V31" s="37">
        <f>IF(COUNTA(V6:V30)=0,"",COUNTA(V6:V30))</f>
        <v>0</v>
      </c>
      <c r="W31" s="37">
        <f>IF(COUNTA(W6:W30)=0,"",COUNTA(W6:W30))</f>
        <v>0</v>
      </c>
      <c r="X31" s="37">
        <f>IF(COUNTA(X6:X30)=0,"",COUNTA(X6:X30))</f>
        <v>0</v>
      </c>
      <c r="Y31" s="37">
        <f>IF(COUNTA(Y6:Y30)=0,"",COUNTA(Y6:Y30))</f>
        <v>0</v>
      </c>
      <c r="Z31" s="37">
        <f>IF(COUNTA(Z6:Z30)=0,"",COUNTA(Z6:Z30))</f>
        <v>0</v>
      </c>
      <c r="AA31" s="37">
        <f>IF(COUNTA(AA6:AA30)=0,"",COUNTA(AA6:AA30))</f>
        <v>0</v>
      </c>
      <c r="AB31" s="37">
        <f>IF(COUNTA(AB6:AB30)=0,"",COUNTA(AB6:AB30))</f>
        <v>0</v>
      </c>
      <c r="AC31" s="37">
        <f>IF(COUNTA(AC6:AC30)=0,"",COUNTA(AC6:AC30))</f>
        <v>0</v>
      </c>
      <c r="AD31" s="37">
        <f>IF(COUNTA(AD6:AD30)=0,"",COUNTA(AD6:AD30))</f>
        <v>0</v>
      </c>
      <c r="AE31" s="37">
        <f>IF(COUNTA(AE6:AE30)=0,"",COUNTA(AE6:AE30))</f>
        <v>0</v>
      </c>
      <c r="AF31" s="37">
        <f>IF(COUNTA(AF6:AF30)=0,"",COUNTA(AF6:AF30))</f>
        <v>0</v>
      </c>
      <c r="AG31" s="37">
        <f>IF(COUNTA(AG6:AG30)=0,"",COUNTA(AG6:AG30))</f>
        <v>0</v>
      </c>
    </row>
    <row r="33" spans="2:39">
      <c r="B33" s="38" t="s">
        <v>95</v>
      </c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8"/>
      <c r="AG33" s="38"/>
      <c r="AH33" s="38"/>
      <c r="AI33" s="38"/>
      <c r="AJ33" s="38"/>
      <c r="AK33" s="38"/>
      <c r="AL33" s="38"/>
      <c r="AM33" s="38"/>
    </row>
  </sheetData>
  <mergeCells count="9">
    <mergeCell ref="B2:I2"/>
    <mergeCell ref="J2:N2"/>
    <mergeCell ref="P2:AM2"/>
    <mergeCell ref="AI4:AI5"/>
    <mergeCell ref="AJ4:AJ5"/>
    <mergeCell ref="AK4:AK5"/>
    <mergeCell ref="AL4:AL5"/>
    <mergeCell ref="AM4:AM5"/>
    <mergeCell ref="B33:AM33"/>
  </mergeCells>
  <conditionalFormatting sqref="C4:AG5">
    <cfRule type="expression" dxfId="7" priority="8">
      <formula>AND(MONTH(DATE(CalYear,2,COLUMN()-2))=2,COUNTIFS(INDIRECT("Holidays!$C$6:$C$60"),DATE(CalYear,2,COLUMN()-2),INDIRECT("Holidays!$D$6:$D$60"),"Holiday")&gt;0)</formula>
    </cfRule>
  </conditionalFormatting>
  <conditionalFormatting sqref="C6:AG30">
    <cfRule type="expression" dxfId="0" priority="1" stopIfTrue="1">
      <formula>MONTH(DATE(CalYear,2,COLUMN()-2))&lt;&gt;2</formula>
    </cfRule>
    <cfRule type="expression" dxfId="1" priority="2" stopIfTrue="1">
      <formula>AND(C6&lt;&gt;"",COUNTIFS(INDIRECT("Setup!$B$9:$B$22"),C6,INDIRECT("Setup!$E$9:$E$22"),"Vacation")&gt;0)</formula>
    </cfRule>
    <cfRule type="expression" dxfId="2" priority="3" stopIfTrue="1">
      <formula>AND(C6&lt;&gt;"",COUNTIFS(INDIRECT("Setup!$B$9:$B$22"),C6,INDIRECT("Setup!$E$9:$E$22"),"Sick")&gt;0)</formula>
    </cfRule>
    <cfRule type="expression" dxfId="3" priority="4" stopIfTrue="1">
      <formula>AND(C6&lt;&gt;"",COUNTIFS(INDIRECT("Setup!$B$9:$B$22"),C6,INDIRECT("Setup!$E$9:$E$22"),"Personal")&gt;0)</formula>
    </cfRule>
    <cfRule type="expression" dxfId="4" priority="5" stopIfTrue="1">
      <formula>AND(C6&lt;&gt;"",COUNTIFS(INDIRECT("Setup!$B$9:$B$22"),C6,INDIRECT("Setup!$E$9:$E$22"),"Other")&gt;0)</formula>
    </cfRule>
    <cfRule type="expression" dxfId="5" priority="6" stopIfTrue="1">
      <formula>COUNTIFS(INDIRECT("Holidays!$C$6:$C$60"),DATE(CalYear,2,COLUMN()-2),INDIRECT("Holidays!$D$6:$D$60"),"Holiday")&gt;0</formula>
    </cfRule>
    <cfRule type="expression" dxfId="6" priority="7" stopIfTrue="1">
      <formula>OR(WEEKDAY(DATE(CalYear,2,COLUMN()-2))=1,WEEKDAY(DATE(CalYear,2,COLUMN()-2))=7)</formula>
    </cfRule>
  </conditionalFormatting>
  <dataValidations count="1">
    <dataValidation type="list" errorStyle="warning" allowBlank="1" showInputMessage="1" showErrorMessage="1" error="Not a code from the Setup tab (it won't be counted)." sqref="C6:AG30">
      <formula1>Codes</formula1>
    </dataValidation>
  </dataValidations>
  <printOptions horizontalCentered="1"/>
  <pageMargins left="0.3" right="0.3" top="0.3" bottom="0.3" header="0.3" footer="0.3"/>
  <pageSetup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2:AM33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/>
    </sheetView>
  </sheetViews>
  <sheetFormatPr defaultRowHeight="15"/>
  <cols>
    <col min="1" max="1" width="1.7109375" customWidth="1"/>
    <col min="2" max="2" width="18.7109375" customWidth="1"/>
    <col min="3" max="33" width="3.85546875" customWidth="1"/>
    <col min="34" max="34" width="1.7109375" customWidth="1"/>
    <col min="35" max="38" width="5.7109375" customWidth="1"/>
    <col min="39" max="39" width="6.28515625" customWidth="1"/>
  </cols>
  <sheetData>
    <row r="2" spans="2:39" ht="34" customHeight="1">
      <c r="B2" s="1" t="s">
        <v>97</v>
      </c>
      <c r="C2" s="1"/>
      <c r="D2" s="1"/>
      <c r="E2" s="1"/>
      <c r="F2" s="1"/>
      <c r="G2" s="1"/>
      <c r="H2" s="1"/>
      <c r="I2" s="1"/>
      <c r="J2" s="18">
        <f>CalYear</f>
        <v>0</v>
      </c>
      <c r="K2" s="18"/>
      <c r="L2" s="18"/>
      <c r="M2" s="18"/>
      <c r="N2" s="18"/>
      <c r="P2" s="19">
        <f>"Codes: "&amp;Setup!B9&amp;" "&amp;Setup!C9&amp;" · "&amp;Setup!B10&amp;" "&amp;Setup!C10&amp;" · "&amp;Setup!B11&amp;" "&amp;Setup!C11&amp;" · "&amp;Setup!B13&amp;" "&amp;Setup!C13&amp;" · "&amp;Setup!B15&amp;" "&amp;Setup!C15&amp;"   (full list on Setup)"</f>
        <v>0</v>
      </c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</row>
    <row r="4" spans="2:39" ht="14" customHeight="1">
      <c r="B4" s="20"/>
      <c r="C4" s="21">
        <f>IF(MONTH(DATE(CalYear,3,1))=3,CHOOSE(WEEKDAY(DATE(CalYear,3,1)),"S","M","T","W","T","F","S"),"")</f>
        <v>0</v>
      </c>
      <c r="D4" s="21">
        <f>IF(MONTH(DATE(CalYear,3,2))=3,CHOOSE(WEEKDAY(DATE(CalYear,3,2)),"S","M","T","W","T","F","S"),"")</f>
        <v>0</v>
      </c>
      <c r="E4" s="21">
        <f>IF(MONTH(DATE(CalYear,3,3))=3,CHOOSE(WEEKDAY(DATE(CalYear,3,3)),"S","M","T","W","T","F","S"),"")</f>
        <v>0</v>
      </c>
      <c r="F4" s="21">
        <f>IF(MONTH(DATE(CalYear,3,4))=3,CHOOSE(WEEKDAY(DATE(CalYear,3,4)),"S","M","T","W","T","F","S"),"")</f>
        <v>0</v>
      </c>
      <c r="G4" s="21">
        <f>IF(MONTH(DATE(CalYear,3,5))=3,CHOOSE(WEEKDAY(DATE(CalYear,3,5)),"S","M","T","W","T","F","S"),"")</f>
        <v>0</v>
      </c>
      <c r="H4" s="21">
        <f>IF(MONTH(DATE(CalYear,3,6))=3,CHOOSE(WEEKDAY(DATE(CalYear,3,6)),"S","M","T","W","T","F","S"),"")</f>
        <v>0</v>
      </c>
      <c r="I4" s="21">
        <f>IF(MONTH(DATE(CalYear,3,7))=3,CHOOSE(WEEKDAY(DATE(CalYear,3,7)),"S","M","T","W","T","F","S"),"")</f>
        <v>0</v>
      </c>
      <c r="J4" s="21">
        <f>IF(MONTH(DATE(CalYear,3,8))=3,CHOOSE(WEEKDAY(DATE(CalYear,3,8)),"S","M","T","W","T","F","S"),"")</f>
        <v>0</v>
      </c>
      <c r="K4" s="21">
        <f>IF(MONTH(DATE(CalYear,3,9))=3,CHOOSE(WEEKDAY(DATE(CalYear,3,9)),"S","M","T","W","T","F","S"),"")</f>
        <v>0</v>
      </c>
      <c r="L4" s="21">
        <f>IF(MONTH(DATE(CalYear,3,10))=3,CHOOSE(WEEKDAY(DATE(CalYear,3,10)),"S","M","T","W","T","F","S"),"")</f>
        <v>0</v>
      </c>
      <c r="M4" s="21">
        <f>IF(MONTH(DATE(CalYear,3,11))=3,CHOOSE(WEEKDAY(DATE(CalYear,3,11)),"S","M","T","W","T","F","S"),"")</f>
        <v>0</v>
      </c>
      <c r="N4" s="21">
        <f>IF(MONTH(DATE(CalYear,3,12))=3,CHOOSE(WEEKDAY(DATE(CalYear,3,12)),"S","M","T","W","T","F","S"),"")</f>
        <v>0</v>
      </c>
      <c r="O4" s="21">
        <f>IF(MONTH(DATE(CalYear,3,13))=3,CHOOSE(WEEKDAY(DATE(CalYear,3,13)),"S","M","T","W","T","F","S"),"")</f>
        <v>0</v>
      </c>
      <c r="P4" s="21">
        <f>IF(MONTH(DATE(CalYear,3,14))=3,CHOOSE(WEEKDAY(DATE(CalYear,3,14)),"S","M","T","W","T","F","S"),"")</f>
        <v>0</v>
      </c>
      <c r="Q4" s="21">
        <f>IF(MONTH(DATE(CalYear,3,15))=3,CHOOSE(WEEKDAY(DATE(CalYear,3,15)),"S","M","T","W","T","F","S"),"")</f>
        <v>0</v>
      </c>
      <c r="R4" s="21">
        <f>IF(MONTH(DATE(CalYear,3,16))=3,CHOOSE(WEEKDAY(DATE(CalYear,3,16)),"S","M","T","W","T","F","S"),"")</f>
        <v>0</v>
      </c>
      <c r="S4" s="21">
        <f>IF(MONTH(DATE(CalYear,3,17))=3,CHOOSE(WEEKDAY(DATE(CalYear,3,17)),"S","M","T","W","T","F","S"),"")</f>
        <v>0</v>
      </c>
      <c r="T4" s="21">
        <f>IF(MONTH(DATE(CalYear,3,18))=3,CHOOSE(WEEKDAY(DATE(CalYear,3,18)),"S","M","T","W","T","F","S"),"")</f>
        <v>0</v>
      </c>
      <c r="U4" s="21">
        <f>IF(MONTH(DATE(CalYear,3,19))=3,CHOOSE(WEEKDAY(DATE(CalYear,3,19)),"S","M","T","W","T","F","S"),"")</f>
        <v>0</v>
      </c>
      <c r="V4" s="21">
        <f>IF(MONTH(DATE(CalYear,3,20))=3,CHOOSE(WEEKDAY(DATE(CalYear,3,20)),"S","M","T","W","T","F","S"),"")</f>
        <v>0</v>
      </c>
      <c r="W4" s="21">
        <f>IF(MONTH(DATE(CalYear,3,21))=3,CHOOSE(WEEKDAY(DATE(CalYear,3,21)),"S","M","T","W","T","F","S"),"")</f>
        <v>0</v>
      </c>
      <c r="X4" s="21">
        <f>IF(MONTH(DATE(CalYear,3,22))=3,CHOOSE(WEEKDAY(DATE(CalYear,3,22)),"S","M","T","W","T","F","S"),"")</f>
        <v>0</v>
      </c>
      <c r="Y4" s="21">
        <f>IF(MONTH(DATE(CalYear,3,23))=3,CHOOSE(WEEKDAY(DATE(CalYear,3,23)),"S","M","T","W","T","F","S"),"")</f>
        <v>0</v>
      </c>
      <c r="Z4" s="21">
        <f>IF(MONTH(DATE(CalYear,3,24))=3,CHOOSE(WEEKDAY(DATE(CalYear,3,24)),"S","M","T","W","T","F","S"),"")</f>
        <v>0</v>
      </c>
      <c r="AA4" s="21">
        <f>IF(MONTH(DATE(CalYear,3,25))=3,CHOOSE(WEEKDAY(DATE(CalYear,3,25)),"S","M","T","W","T","F","S"),"")</f>
        <v>0</v>
      </c>
      <c r="AB4" s="21">
        <f>IF(MONTH(DATE(CalYear,3,26))=3,CHOOSE(WEEKDAY(DATE(CalYear,3,26)),"S","M","T","W","T","F","S"),"")</f>
        <v>0</v>
      </c>
      <c r="AC4" s="21">
        <f>IF(MONTH(DATE(CalYear,3,27))=3,CHOOSE(WEEKDAY(DATE(CalYear,3,27)),"S","M","T","W","T","F","S"),"")</f>
        <v>0</v>
      </c>
      <c r="AD4" s="21">
        <f>IF(MONTH(DATE(CalYear,3,28))=3,CHOOSE(WEEKDAY(DATE(CalYear,3,28)),"S","M","T","W","T","F","S"),"")</f>
        <v>0</v>
      </c>
      <c r="AE4" s="21">
        <f>IF(MONTH(DATE(CalYear,3,29))=3,CHOOSE(WEEKDAY(DATE(CalYear,3,29)),"S","M","T","W","T","F","S"),"")</f>
        <v>0</v>
      </c>
      <c r="AF4" s="21">
        <f>IF(MONTH(DATE(CalYear,3,30))=3,CHOOSE(WEEKDAY(DATE(CalYear,3,30)),"S","M","T","W","T","F","S"),"")</f>
        <v>0</v>
      </c>
      <c r="AG4" s="21">
        <f>IF(MONTH(DATE(CalYear,3,31))=3,CHOOSE(WEEKDAY(DATE(CalYear,3,31)),"S","M","T","W","T","F","S"),"")</f>
        <v>0</v>
      </c>
      <c r="AI4" s="22" t="s">
        <v>89</v>
      </c>
      <c r="AJ4" s="23" t="s">
        <v>90</v>
      </c>
      <c r="AK4" s="24" t="s">
        <v>91</v>
      </c>
      <c r="AL4" s="25" t="s">
        <v>92</v>
      </c>
      <c r="AM4" s="26" t="s">
        <v>93</v>
      </c>
    </row>
    <row r="5" spans="2:39" ht="18" customHeight="1">
      <c r="B5" s="27" t="s">
        <v>68</v>
      </c>
      <c r="C5" s="28">
        <f>IF(MONTH(DATE(CalYear,3,1))=3,1,"")</f>
        <v>0</v>
      </c>
      <c r="D5" s="28">
        <f>IF(MONTH(DATE(CalYear,3,2))=3,2,"")</f>
        <v>0</v>
      </c>
      <c r="E5" s="28">
        <f>IF(MONTH(DATE(CalYear,3,3))=3,3,"")</f>
        <v>0</v>
      </c>
      <c r="F5" s="28">
        <f>IF(MONTH(DATE(CalYear,3,4))=3,4,"")</f>
        <v>0</v>
      </c>
      <c r="G5" s="28">
        <f>IF(MONTH(DATE(CalYear,3,5))=3,5,"")</f>
        <v>0</v>
      </c>
      <c r="H5" s="28">
        <f>IF(MONTH(DATE(CalYear,3,6))=3,6,"")</f>
        <v>0</v>
      </c>
      <c r="I5" s="28">
        <f>IF(MONTH(DATE(CalYear,3,7))=3,7,"")</f>
        <v>0</v>
      </c>
      <c r="J5" s="28">
        <f>IF(MONTH(DATE(CalYear,3,8))=3,8,"")</f>
        <v>0</v>
      </c>
      <c r="K5" s="28">
        <f>IF(MONTH(DATE(CalYear,3,9))=3,9,"")</f>
        <v>0</v>
      </c>
      <c r="L5" s="28">
        <f>IF(MONTH(DATE(CalYear,3,10))=3,10,"")</f>
        <v>0</v>
      </c>
      <c r="M5" s="28">
        <f>IF(MONTH(DATE(CalYear,3,11))=3,11,"")</f>
        <v>0</v>
      </c>
      <c r="N5" s="28">
        <f>IF(MONTH(DATE(CalYear,3,12))=3,12,"")</f>
        <v>0</v>
      </c>
      <c r="O5" s="28">
        <f>IF(MONTH(DATE(CalYear,3,13))=3,13,"")</f>
        <v>0</v>
      </c>
      <c r="P5" s="28">
        <f>IF(MONTH(DATE(CalYear,3,14))=3,14,"")</f>
        <v>0</v>
      </c>
      <c r="Q5" s="28">
        <f>IF(MONTH(DATE(CalYear,3,15))=3,15,"")</f>
        <v>0</v>
      </c>
      <c r="R5" s="28">
        <f>IF(MONTH(DATE(CalYear,3,16))=3,16,"")</f>
        <v>0</v>
      </c>
      <c r="S5" s="28">
        <f>IF(MONTH(DATE(CalYear,3,17))=3,17,"")</f>
        <v>0</v>
      </c>
      <c r="T5" s="28">
        <f>IF(MONTH(DATE(CalYear,3,18))=3,18,"")</f>
        <v>0</v>
      </c>
      <c r="U5" s="28">
        <f>IF(MONTH(DATE(CalYear,3,19))=3,19,"")</f>
        <v>0</v>
      </c>
      <c r="V5" s="28">
        <f>IF(MONTH(DATE(CalYear,3,20))=3,20,"")</f>
        <v>0</v>
      </c>
      <c r="W5" s="28">
        <f>IF(MONTH(DATE(CalYear,3,21))=3,21,"")</f>
        <v>0</v>
      </c>
      <c r="X5" s="28">
        <f>IF(MONTH(DATE(CalYear,3,22))=3,22,"")</f>
        <v>0</v>
      </c>
      <c r="Y5" s="28">
        <f>IF(MONTH(DATE(CalYear,3,23))=3,23,"")</f>
        <v>0</v>
      </c>
      <c r="Z5" s="28">
        <f>IF(MONTH(DATE(CalYear,3,24))=3,24,"")</f>
        <v>0</v>
      </c>
      <c r="AA5" s="28">
        <f>IF(MONTH(DATE(CalYear,3,25))=3,25,"")</f>
        <v>0</v>
      </c>
      <c r="AB5" s="28">
        <f>IF(MONTH(DATE(CalYear,3,26))=3,26,"")</f>
        <v>0</v>
      </c>
      <c r="AC5" s="28">
        <f>IF(MONTH(DATE(CalYear,3,27))=3,27,"")</f>
        <v>0</v>
      </c>
      <c r="AD5" s="28">
        <f>IF(MONTH(DATE(CalYear,3,28))=3,28,"")</f>
        <v>0</v>
      </c>
      <c r="AE5" s="28">
        <f>IF(MONTH(DATE(CalYear,3,29))=3,29,"")</f>
        <v>0</v>
      </c>
      <c r="AF5" s="28">
        <f>IF(MONTH(DATE(CalYear,3,30))=3,30,"")</f>
        <v>0</v>
      </c>
      <c r="AG5" s="28">
        <f>IF(MONTH(DATE(CalYear,3,31))=3,31,"")</f>
        <v>0</v>
      </c>
      <c r="AI5" s="22"/>
      <c r="AJ5" s="23"/>
      <c r="AK5" s="24"/>
      <c r="AL5" s="25"/>
      <c r="AM5" s="26"/>
    </row>
    <row r="6" spans="2:39" ht="17" customHeight="1">
      <c r="B6" s="29">
        <f>IF(Summary!B6="","",Summary!B6)</f>
        <v>0</v>
      </c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  <c r="AE6" s="30"/>
      <c r="AF6" s="30"/>
      <c r="AG6" s="30"/>
      <c r="AI6" s="31">
        <f>SUMPRODUCT(COUNTIF(C6:AG6,Codes)*(Codes&lt;&gt;"")*(CodeBucket="Vacation")*CodeDays)</f>
        <v>0</v>
      </c>
      <c r="AJ6" s="32">
        <f>SUMPRODUCT(COUNTIF(C6:AG6,Codes)*(Codes&lt;&gt;"")*(CodeBucket="Sick")*CodeDays)</f>
        <v>0</v>
      </c>
      <c r="AK6" s="33">
        <f>SUMPRODUCT(COUNTIF(C6:AG6,Codes)*(Codes&lt;&gt;"")*(CodeBucket="Personal")*CodeDays)</f>
        <v>0</v>
      </c>
      <c r="AL6" s="34">
        <f>SUMPRODUCT(COUNTIF(C6:AG6,Codes)*(Codes&lt;&gt;"")*(CodeBucket="Other")*CodeDays)</f>
        <v>0</v>
      </c>
      <c r="AM6" s="35">
        <f>SUM(AI6:AL6)</f>
        <v>0</v>
      </c>
    </row>
    <row r="7" spans="2:39" ht="17" customHeight="1">
      <c r="B7" s="29">
        <f>IF(Summary!B7="","",Summary!B7)</f>
        <v>0</v>
      </c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  <c r="AB7" s="30"/>
      <c r="AC7" s="30"/>
      <c r="AD7" s="30"/>
      <c r="AE7" s="30"/>
      <c r="AF7" s="30"/>
      <c r="AG7" s="30"/>
      <c r="AI7" s="31">
        <f>SUMPRODUCT(COUNTIF(C7:AG7,Codes)*(Codes&lt;&gt;"")*(CodeBucket="Vacation")*CodeDays)</f>
        <v>0</v>
      </c>
      <c r="AJ7" s="32">
        <f>SUMPRODUCT(COUNTIF(C7:AG7,Codes)*(Codes&lt;&gt;"")*(CodeBucket="Sick")*CodeDays)</f>
        <v>0</v>
      </c>
      <c r="AK7" s="33">
        <f>SUMPRODUCT(COUNTIF(C7:AG7,Codes)*(Codes&lt;&gt;"")*(CodeBucket="Personal")*CodeDays)</f>
        <v>0</v>
      </c>
      <c r="AL7" s="34">
        <f>SUMPRODUCT(COUNTIF(C7:AG7,Codes)*(Codes&lt;&gt;"")*(CodeBucket="Other")*CodeDays)</f>
        <v>0</v>
      </c>
      <c r="AM7" s="35">
        <f>SUM(AI7:AL7)</f>
        <v>0</v>
      </c>
    </row>
    <row r="8" spans="2:39" ht="17" customHeight="1">
      <c r="B8" s="29">
        <f>IF(Summary!B8="","",Summary!B8)</f>
        <v>0</v>
      </c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30"/>
      <c r="AA8" s="30"/>
      <c r="AB8" s="30"/>
      <c r="AC8" s="30"/>
      <c r="AD8" s="30"/>
      <c r="AE8" s="30"/>
      <c r="AF8" s="30"/>
      <c r="AG8" s="30"/>
      <c r="AI8" s="31">
        <f>SUMPRODUCT(COUNTIF(C8:AG8,Codes)*(Codes&lt;&gt;"")*(CodeBucket="Vacation")*CodeDays)</f>
        <v>0</v>
      </c>
      <c r="AJ8" s="32">
        <f>SUMPRODUCT(COUNTIF(C8:AG8,Codes)*(Codes&lt;&gt;"")*(CodeBucket="Sick")*CodeDays)</f>
        <v>0</v>
      </c>
      <c r="AK8" s="33">
        <f>SUMPRODUCT(COUNTIF(C8:AG8,Codes)*(Codes&lt;&gt;"")*(CodeBucket="Personal")*CodeDays)</f>
        <v>0</v>
      </c>
      <c r="AL8" s="34">
        <f>SUMPRODUCT(COUNTIF(C8:AG8,Codes)*(Codes&lt;&gt;"")*(CodeBucket="Other")*CodeDays)</f>
        <v>0</v>
      </c>
      <c r="AM8" s="35">
        <f>SUM(AI8:AL8)</f>
        <v>0</v>
      </c>
    </row>
    <row r="9" spans="2:39" ht="17" customHeight="1">
      <c r="B9" s="29">
        <f>IF(Summary!B9="","",Summary!B9)</f>
        <v>0</v>
      </c>
      <c r="C9" s="30"/>
      <c r="D9" s="30"/>
      <c r="E9" s="30"/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  <c r="AB9" s="30"/>
      <c r="AC9" s="30"/>
      <c r="AD9" s="30"/>
      <c r="AE9" s="30"/>
      <c r="AF9" s="30"/>
      <c r="AG9" s="30"/>
      <c r="AI9" s="31">
        <f>SUMPRODUCT(COUNTIF(C9:AG9,Codes)*(Codes&lt;&gt;"")*(CodeBucket="Vacation")*CodeDays)</f>
        <v>0</v>
      </c>
      <c r="AJ9" s="32">
        <f>SUMPRODUCT(COUNTIF(C9:AG9,Codes)*(Codes&lt;&gt;"")*(CodeBucket="Sick")*CodeDays)</f>
        <v>0</v>
      </c>
      <c r="AK9" s="33">
        <f>SUMPRODUCT(COUNTIF(C9:AG9,Codes)*(Codes&lt;&gt;"")*(CodeBucket="Personal")*CodeDays)</f>
        <v>0</v>
      </c>
      <c r="AL9" s="34">
        <f>SUMPRODUCT(COUNTIF(C9:AG9,Codes)*(Codes&lt;&gt;"")*(CodeBucket="Other")*CodeDays)</f>
        <v>0</v>
      </c>
      <c r="AM9" s="35">
        <f>SUM(AI9:AL9)</f>
        <v>0</v>
      </c>
    </row>
    <row r="10" spans="2:39" ht="17" customHeight="1">
      <c r="B10" s="29">
        <f>IF(Summary!B10="","",Summary!B10)</f>
        <v>0</v>
      </c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  <c r="AA10" s="30"/>
      <c r="AB10" s="30"/>
      <c r="AC10" s="30"/>
      <c r="AD10" s="30"/>
      <c r="AE10" s="30"/>
      <c r="AF10" s="30"/>
      <c r="AG10" s="30"/>
      <c r="AI10" s="31">
        <f>SUMPRODUCT(COUNTIF(C10:AG10,Codes)*(Codes&lt;&gt;"")*(CodeBucket="Vacation")*CodeDays)</f>
        <v>0</v>
      </c>
      <c r="AJ10" s="32">
        <f>SUMPRODUCT(COUNTIF(C10:AG10,Codes)*(Codes&lt;&gt;"")*(CodeBucket="Sick")*CodeDays)</f>
        <v>0</v>
      </c>
      <c r="AK10" s="33">
        <f>SUMPRODUCT(COUNTIF(C10:AG10,Codes)*(Codes&lt;&gt;"")*(CodeBucket="Personal")*CodeDays)</f>
        <v>0</v>
      </c>
      <c r="AL10" s="34">
        <f>SUMPRODUCT(COUNTIF(C10:AG10,Codes)*(Codes&lt;&gt;"")*(CodeBucket="Other")*CodeDays)</f>
        <v>0</v>
      </c>
      <c r="AM10" s="35">
        <f>SUM(AI10:AL10)</f>
        <v>0</v>
      </c>
    </row>
    <row r="11" spans="2:39" ht="17" customHeight="1">
      <c r="B11" s="29">
        <f>IF(Summary!B11="","",Summary!B11)</f>
        <v>0</v>
      </c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  <c r="AA11" s="30"/>
      <c r="AB11" s="30"/>
      <c r="AC11" s="30"/>
      <c r="AD11" s="30"/>
      <c r="AE11" s="30"/>
      <c r="AF11" s="30"/>
      <c r="AG11" s="30"/>
      <c r="AI11" s="31">
        <f>SUMPRODUCT(COUNTIF(C11:AG11,Codes)*(Codes&lt;&gt;"")*(CodeBucket="Vacation")*CodeDays)</f>
        <v>0</v>
      </c>
      <c r="AJ11" s="32">
        <f>SUMPRODUCT(COUNTIF(C11:AG11,Codes)*(Codes&lt;&gt;"")*(CodeBucket="Sick")*CodeDays)</f>
        <v>0</v>
      </c>
      <c r="AK11" s="33">
        <f>SUMPRODUCT(COUNTIF(C11:AG11,Codes)*(Codes&lt;&gt;"")*(CodeBucket="Personal")*CodeDays)</f>
        <v>0</v>
      </c>
      <c r="AL11" s="34">
        <f>SUMPRODUCT(COUNTIF(C11:AG11,Codes)*(Codes&lt;&gt;"")*(CodeBucket="Other")*CodeDays)</f>
        <v>0</v>
      </c>
      <c r="AM11" s="35">
        <f>SUM(AI11:AL11)</f>
        <v>0</v>
      </c>
    </row>
    <row r="12" spans="2:39" ht="17" customHeight="1">
      <c r="B12" s="29">
        <f>IF(Summary!B12="","",Summary!B12)</f>
        <v>0</v>
      </c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0"/>
      <c r="S12" s="30"/>
      <c r="T12" s="30"/>
      <c r="U12" s="30"/>
      <c r="V12" s="30"/>
      <c r="W12" s="30"/>
      <c r="X12" s="30"/>
      <c r="Y12" s="30"/>
      <c r="Z12" s="30"/>
      <c r="AA12" s="30"/>
      <c r="AB12" s="30"/>
      <c r="AC12" s="30"/>
      <c r="AD12" s="30"/>
      <c r="AE12" s="30"/>
      <c r="AF12" s="30"/>
      <c r="AG12" s="30"/>
      <c r="AI12" s="31">
        <f>SUMPRODUCT(COUNTIF(C12:AG12,Codes)*(Codes&lt;&gt;"")*(CodeBucket="Vacation")*CodeDays)</f>
        <v>0</v>
      </c>
      <c r="AJ12" s="32">
        <f>SUMPRODUCT(COUNTIF(C12:AG12,Codes)*(Codes&lt;&gt;"")*(CodeBucket="Sick")*CodeDays)</f>
        <v>0</v>
      </c>
      <c r="AK12" s="33">
        <f>SUMPRODUCT(COUNTIF(C12:AG12,Codes)*(Codes&lt;&gt;"")*(CodeBucket="Personal")*CodeDays)</f>
        <v>0</v>
      </c>
      <c r="AL12" s="34">
        <f>SUMPRODUCT(COUNTIF(C12:AG12,Codes)*(Codes&lt;&gt;"")*(CodeBucket="Other")*CodeDays)</f>
        <v>0</v>
      </c>
      <c r="AM12" s="35">
        <f>SUM(AI12:AL12)</f>
        <v>0</v>
      </c>
    </row>
    <row r="13" spans="2:39" ht="17" customHeight="1">
      <c r="B13" s="29">
        <f>IF(Summary!B13="","",Summary!B13)</f>
        <v>0</v>
      </c>
      <c r="C13" s="30"/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30"/>
      <c r="T13" s="30"/>
      <c r="U13" s="30"/>
      <c r="V13" s="30"/>
      <c r="W13" s="30"/>
      <c r="X13" s="30"/>
      <c r="Y13" s="30"/>
      <c r="Z13" s="30"/>
      <c r="AA13" s="30"/>
      <c r="AB13" s="30"/>
      <c r="AC13" s="30"/>
      <c r="AD13" s="30"/>
      <c r="AE13" s="30"/>
      <c r="AF13" s="30"/>
      <c r="AG13" s="30"/>
      <c r="AI13" s="31">
        <f>SUMPRODUCT(COUNTIF(C13:AG13,Codes)*(Codes&lt;&gt;"")*(CodeBucket="Vacation")*CodeDays)</f>
        <v>0</v>
      </c>
      <c r="AJ13" s="32">
        <f>SUMPRODUCT(COUNTIF(C13:AG13,Codes)*(Codes&lt;&gt;"")*(CodeBucket="Sick")*CodeDays)</f>
        <v>0</v>
      </c>
      <c r="AK13" s="33">
        <f>SUMPRODUCT(COUNTIF(C13:AG13,Codes)*(Codes&lt;&gt;"")*(CodeBucket="Personal")*CodeDays)</f>
        <v>0</v>
      </c>
      <c r="AL13" s="34">
        <f>SUMPRODUCT(COUNTIF(C13:AG13,Codes)*(Codes&lt;&gt;"")*(CodeBucket="Other")*CodeDays)</f>
        <v>0</v>
      </c>
      <c r="AM13" s="35">
        <f>SUM(AI13:AL13)</f>
        <v>0</v>
      </c>
    </row>
    <row r="14" spans="2:39" ht="17" customHeight="1">
      <c r="B14" s="29">
        <f>IF(Summary!B14="","",Summary!B14)</f>
        <v>0</v>
      </c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30"/>
      <c r="U14" s="30"/>
      <c r="V14" s="30"/>
      <c r="W14" s="30"/>
      <c r="X14" s="30"/>
      <c r="Y14" s="30"/>
      <c r="Z14" s="30"/>
      <c r="AA14" s="30"/>
      <c r="AB14" s="30"/>
      <c r="AC14" s="30"/>
      <c r="AD14" s="30"/>
      <c r="AE14" s="30"/>
      <c r="AF14" s="30"/>
      <c r="AG14" s="30"/>
      <c r="AI14" s="31">
        <f>SUMPRODUCT(COUNTIF(C14:AG14,Codes)*(Codes&lt;&gt;"")*(CodeBucket="Vacation")*CodeDays)</f>
        <v>0</v>
      </c>
      <c r="AJ14" s="32">
        <f>SUMPRODUCT(COUNTIF(C14:AG14,Codes)*(Codes&lt;&gt;"")*(CodeBucket="Sick")*CodeDays)</f>
        <v>0</v>
      </c>
      <c r="AK14" s="33">
        <f>SUMPRODUCT(COUNTIF(C14:AG14,Codes)*(Codes&lt;&gt;"")*(CodeBucket="Personal")*CodeDays)</f>
        <v>0</v>
      </c>
      <c r="AL14" s="34">
        <f>SUMPRODUCT(COUNTIF(C14:AG14,Codes)*(Codes&lt;&gt;"")*(CodeBucket="Other")*CodeDays)</f>
        <v>0</v>
      </c>
      <c r="AM14" s="35">
        <f>SUM(AI14:AL14)</f>
        <v>0</v>
      </c>
    </row>
    <row r="15" spans="2:39" ht="17" customHeight="1">
      <c r="B15" s="29">
        <f>IF(Summary!B15="","",Summary!B15)</f>
        <v>0</v>
      </c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0"/>
      <c r="AA15" s="30"/>
      <c r="AB15" s="30"/>
      <c r="AC15" s="30"/>
      <c r="AD15" s="30"/>
      <c r="AE15" s="30"/>
      <c r="AF15" s="30"/>
      <c r="AG15" s="30"/>
      <c r="AI15" s="31">
        <f>SUMPRODUCT(COUNTIF(C15:AG15,Codes)*(Codes&lt;&gt;"")*(CodeBucket="Vacation")*CodeDays)</f>
        <v>0</v>
      </c>
      <c r="AJ15" s="32">
        <f>SUMPRODUCT(COUNTIF(C15:AG15,Codes)*(Codes&lt;&gt;"")*(CodeBucket="Sick")*CodeDays)</f>
        <v>0</v>
      </c>
      <c r="AK15" s="33">
        <f>SUMPRODUCT(COUNTIF(C15:AG15,Codes)*(Codes&lt;&gt;"")*(CodeBucket="Personal")*CodeDays)</f>
        <v>0</v>
      </c>
      <c r="AL15" s="34">
        <f>SUMPRODUCT(COUNTIF(C15:AG15,Codes)*(Codes&lt;&gt;"")*(CodeBucket="Other")*CodeDays)</f>
        <v>0</v>
      </c>
      <c r="AM15" s="35">
        <f>SUM(AI15:AL15)</f>
        <v>0</v>
      </c>
    </row>
    <row r="16" spans="2:39" ht="17" customHeight="1">
      <c r="B16" s="29">
        <f>IF(Summary!B16="","",Summary!B16)</f>
        <v>0</v>
      </c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0"/>
      <c r="R16" s="30"/>
      <c r="S16" s="30"/>
      <c r="T16" s="30"/>
      <c r="U16" s="30"/>
      <c r="V16" s="30"/>
      <c r="W16" s="30"/>
      <c r="X16" s="30"/>
      <c r="Y16" s="30"/>
      <c r="Z16" s="30"/>
      <c r="AA16" s="30"/>
      <c r="AB16" s="30"/>
      <c r="AC16" s="30"/>
      <c r="AD16" s="30"/>
      <c r="AE16" s="30"/>
      <c r="AF16" s="30"/>
      <c r="AG16" s="30"/>
      <c r="AI16" s="31">
        <f>SUMPRODUCT(COUNTIF(C16:AG16,Codes)*(Codes&lt;&gt;"")*(CodeBucket="Vacation")*CodeDays)</f>
        <v>0</v>
      </c>
      <c r="AJ16" s="32">
        <f>SUMPRODUCT(COUNTIF(C16:AG16,Codes)*(Codes&lt;&gt;"")*(CodeBucket="Sick")*CodeDays)</f>
        <v>0</v>
      </c>
      <c r="AK16" s="33">
        <f>SUMPRODUCT(COUNTIF(C16:AG16,Codes)*(Codes&lt;&gt;"")*(CodeBucket="Personal")*CodeDays)</f>
        <v>0</v>
      </c>
      <c r="AL16" s="34">
        <f>SUMPRODUCT(COUNTIF(C16:AG16,Codes)*(Codes&lt;&gt;"")*(CodeBucket="Other")*CodeDays)</f>
        <v>0</v>
      </c>
      <c r="AM16" s="35">
        <f>SUM(AI16:AL16)</f>
        <v>0</v>
      </c>
    </row>
    <row r="17" spans="2:39" ht="17" customHeight="1">
      <c r="B17" s="29">
        <f>IF(Summary!B17="","",Summary!B17)</f>
        <v>0</v>
      </c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  <c r="O17" s="30"/>
      <c r="P17" s="30"/>
      <c r="Q17" s="30"/>
      <c r="R17" s="30"/>
      <c r="S17" s="30"/>
      <c r="T17" s="30"/>
      <c r="U17" s="30"/>
      <c r="V17" s="30"/>
      <c r="W17" s="30"/>
      <c r="X17" s="30"/>
      <c r="Y17" s="30"/>
      <c r="Z17" s="30"/>
      <c r="AA17" s="30"/>
      <c r="AB17" s="30"/>
      <c r="AC17" s="30"/>
      <c r="AD17" s="30"/>
      <c r="AE17" s="30"/>
      <c r="AF17" s="30"/>
      <c r="AG17" s="30"/>
      <c r="AI17" s="31">
        <f>SUMPRODUCT(COUNTIF(C17:AG17,Codes)*(Codes&lt;&gt;"")*(CodeBucket="Vacation")*CodeDays)</f>
        <v>0</v>
      </c>
      <c r="AJ17" s="32">
        <f>SUMPRODUCT(COUNTIF(C17:AG17,Codes)*(Codes&lt;&gt;"")*(CodeBucket="Sick")*CodeDays)</f>
        <v>0</v>
      </c>
      <c r="AK17" s="33">
        <f>SUMPRODUCT(COUNTIF(C17:AG17,Codes)*(Codes&lt;&gt;"")*(CodeBucket="Personal")*CodeDays)</f>
        <v>0</v>
      </c>
      <c r="AL17" s="34">
        <f>SUMPRODUCT(COUNTIF(C17:AG17,Codes)*(Codes&lt;&gt;"")*(CodeBucket="Other")*CodeDays)</f>
        <v>0</v>
      </c>
      <c r="AM17" s="35">
        <f>SUM(AI17:AL17)</f>
        <v>0</v>
      </c>
    </row>
    <row r="18" spans="2:39" ht="17" customHeight="1">
      <c r="B18" s="29">
        <f>IF(Summary!B18="","",Summary!B18)</f>
        <v>0</v>
      </c>
      <c r="C18" s="30"/>
      <c r="D18" s="30"/>
      <c r="E18" s="30"/>
      <c r="F18" s="30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30"/>
      <c r="R18" s="30"/>
      <c r="S18" s="30"/>
      <c r="T18" s="30"/>
      <c r="U18" s="30"/>
      <c r="V18" s="30"/>
      <c r="W18" s="30"/>
      <c r="X18" s="30"/>
      <c r="Y18" s="30"/>
      <c r="Z18" s="30"/>
      <c r="AA18" s="30"/>
      <c r="AB18" s="30"/>
      <c r="AC18" s="30"/>
      <c r="AD18" s="30"/>
      <c r="AE18" s="30"/>
      <c r="AF18" s="30"/>
      <c r="AG18" s="30"/>
      <c r="AI18" s="31">
        <f>SUMPRODUCT(COUNTIF(C18:AG18,Codes)*(Codes&lt;&gt;"")*(CodeBucket="Vacation")*CodeDays)</f>
        <v>0</v>
      </c>
      <c r="AJ18" s="32">
        <f>SUMPRODUCT(COUNTIF(C18:AG18,Codes)*(Codes&lt;&gt;"")*(CodeBucket="Sick")*CodeDays)</f>
        <v>0</v>
      </c>
      <c r="AK18" s="33">
        <f>SUMPRODUCT(COUNTIF(C18:AG18,Codes)*(Codes&lt;&gt;"")*(CodeBucket="Personal")*CodeDays)</f>
        <v>0</v>
      </c>
      <c r="AL18" s="34">
        <f>SUMPRODUCT(COUNTIF(C18:AG18,Codes)*(Codes&lt;&gt;"")*(CodeBucket="Other")*CodeDays)</f>
        <v>0</v>
      </c>
      <c r="AM18" s="35">
        <f>SUM(AI18:AL18)</f>
        <v>0</v>
      </c>
    </row>
    <row r="19" spans="2:39" ht="17" customHeight="1">
      <c r="B19" s="29">
        <f>IF(Summary!B19="","",Summary!B19)</f>
        <v>0</v>
      </c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30"/>
      <c r="AE19" s="30"/>
      <c r="AF19" s="30"/>
      <c r="AG19" s="30"/>
      <c r="AI19" s="31">
        <f>SUMPRODUCT(COUNTIF(C19:AG19,Codes)*(Codes&lt;&gt;"")*(CodeBucket="Vacation")*CodeDays)</f>
        <v>0</v>
      </c>
      <c r="AJ19" s="32">
        <f>SUMPRODUCT(COUNTIF(C19:AG19,Codes)*(Codes&lt;&gt;"")*(CodeBucket="Sick")*CodeDays)</f>
        <v>0</v>
      </c>
      <c r="AK19" s="33">
        <f>SUMPRODUCT(COUNTIF(C19:AG19,Codes)*(Codes&lt;&gt;"")*(CodeBucket="Personal")*CodeDays)</f>
        <v>0</v>
      </c>
      <c r="AL19" s="34">
        <f>SUMPRODUCT(COUNTIF(C19:AG19,Codes)*(Codes&lt;&gt;"")*(CodeBucket="Other")*CodeDays)</f>
        <v>0</v>
      </c>
      <c r="AM19" s="35">
        <f>SUM(AI19:AL19)</f>
        <v>0</v>
      </c>
    </row>
    <row r="20" spans="2:39" ht="17" customHeight="1">
      <c r="B20" s="29">
        <f>IF(Summary!B20="","",Summary!B20)</f>
        <v>0</v>
      </c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0"/>
      <c r="V20" s="30"/>
      <c r="W20" s="30"/>
      <c r="X20" s="30"/>
      <c r="Y20" s="30"/>
      <c r="Z20" s="30"/>
      <c r="AA20" s="30"/>
      <c r="AB20" s="30"/>
      <c r="AC20" s="30"/>
      <c r="AD20" s="30"/>
      <c r="AE20" s="30"/>
      <c r="AF20" s="30"/>
      <c r="AG20" s="30"/>
      <c r="AI20" s="31">
        <f>SUMPRODUCT(COUNTIF(C20:AG20,Codes)*(Codes&lt;&gt;"")*(CodeBucket="Vacation")*CodeDays)</f>
        <v>0</v>
      </c>
      <c r="AJ20" s="32">
        <f>SUMPRODUCT(COUNTIF(C20:AG20,Codes)*(Codes&lt;&gt;"")*(CodeBucket="Sick")*CodeDays)</f>
        <v>0</v>
      </c>
      <c r="AK20" s="33">
        <f>SUMPRODUCT(COUNTIF(C20:AG20,Codes)*(Codes&lt;&gt;"")*(CodeBucket="Personal")*CodeDays)</f>
        <v>0</v>
      </c>
      <c r="AL20" s="34">
        <f>SUMPRODUCT(COUNTIF(C20:AG20,Codes)*(Codes&lt;&gt;"")*(CodeBucket="Other")*CodeDays)</f>
        <v>0</v>
      </c>
      <c r="AM20" s="35">
        <f>SUM(AI20:AL20)</f>
        <v>0</v>
      </c>
    </row>
    <row r="21" spans="2:39" ht="17" customHeight="1">
      <c r="B21" s="29">
        <f>IF(Summary!B21="","",Summary!B21)</f>
        <v>0</v>
      </c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0"/>
      <c r="P21" s="30"/>
      <c r="Q21" s="30"/>
      <c r="R21" s="30"/>
      <c r="S21" s="30"/>
      <c r="T21" s="30"/>
      <c r="U21" s="30"/>
      <c r="V21" s="30"/>
      <c r="W21" s="30"/>
      <c r="X21" s="30"/>
      <c r="Y21" s="30"/>
      <c r="Z21" s="30"/>
      <c r="AA21" s="30"/>
      <c r="AB21" s="30"/>
      <c r="AC21" s="30"/>
      <c r="AD21" s="30"/>
      <c r="AE21" s="30"/>
      <c r="AF21" s="30"/>
      <c r="AG21" s="30"/>
      <c r="AI21" s="31">
        <f>SUMPRODUCT(COUNTIF(C21:AG21,Codes)*(Codes&lt;&gt;"")*(CodeBucket="Vacation")*CodeDays)</f>
        <v>0</v>
      </c>
      <c r="AJ21" s="32">
        <f>SUMPRODUCT(COUNTIF(C21:AG21,Codes)*(Codes&lt;&gt;"")*(CodeBucket="Sick")*CodeDays)</f>
        <v>0</v>
      </c>
      <c r="AK21" s="33">
        <f>SUMPRODUCT(COUNTIF(C21:AG21,Codes)*(Codes&lt;&gt;"")*(CodeBucket="Personal")*CodeDays)</f>
        <v>0</v>
      </c>
      <c r="AL21" s="34">
        <f>SUMPRODUCT(COUNTIF(C21:AG21,Codes)*(Codes&lt;&gt;"")*(CodeBucket="Other")*CodeDays)</f>
        <v>0</v>
      </c>
      <c r="AM21" s="35">
        <f>SUM(AI21:AL21)</f>
        <v>0</v>
      </c>
    </row>
    <row r="22" spans="2:39" ht="17" customHeight="1">
      <c r="B22" s="29">
        <f>IF(Summary!B22="","",Summary!B22)</f>
        <v>0</v>
      </c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0"/>
      <c r="W22" s="30"/>
      <c r="X22" s="30"/>
      <c r="Y22" s="30"/>
      <c r="Z22" s="30"/>
      <c r="AA22" s="30"/>
      <c r="AB22" s="30"/>
      <c r="AC22" s="30"/>
      <c r="AD22" s="30"/>
      <c r="AE22" s="30"/>
      <c r="AF22" s="30"/>
      <c r="AG22" s="30"/>
      <c r="AI22" s="31">
        <f>SUMPRODUCT(COUNTIF(C22:AG22,Codes)*(Codes&lt;&gt;"")*(CodeBucket="Vacation")*CodeDays)</f>
        <v>0</v>
      </c>
      <c r="AJ22" s="32">
        <f>SUMPRODUCT(COUNTIF(C22:AG22,Codes)*(Codes&lt;&gt;"")*(CodeBucket="Sick")*CodeDays)</f>
        <v>0</v>
      </c>
      <c r="AK22" s="33">
        <f>SUMPRODUCT(COUNTIF(C22:AG22,Codes)*(Codes&lt;&gt;"")*(CodeBucket="Personal")*CodeDays)</f>
        <v>0</v>
      </c>
      <c r="AL22" s="34">
        <f>SUMPRODUCT(COUNTIF(C22:AG22,Codes)*(Codes&lt;&gt;"")*(CodeBucket="Other")*CodeDays)</f>
        <v>0</v>
      </c>
      <c r="AM22" s="35">
        <f>SUM(AI22:AL22)</f>
        <v>0</v>
      </c>
    </row>
    <row r="23" spans="2:39" ht="17" customHeight="1">
      <c r="B23" s="29">
        <f>IF(Summary!B23="","",Summary!B23)</f>
        <v>0</v>
      </c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30"/>
      <c r="S23" s="30"/>
      <c r="T23" s="30"/>
      <c r="U23" s="30"/>
      <c r="V23" s="30"/>
      <c r="W23" s="30"/>
      <c r="X23" s="30"/>
      <c r="Y23" s="30"/>
      <c r="Z23" s="30"/>
      <c r="AA23" s="30"/>
      <c r="AB23" s="30"/>
      <c r="AC23" s="30"/>
      <c r="AD23" s="30"/>
      <c r="AE23" s="30"/>
      <c r="AF23" s="30"/>
      <c r="AG23" s="30"/>
      <c r="AI23" s="31">
        <f>SUMPRODUCT(COUNTIF(C23:AG23,Codes)*(Codes&lt;&gt;"")*(CodeBucket="Vacation")*CodeDays)</f>
        <v>0</v>
      </c>
      <c r="AJ23" s="32">
        <f>SUMPRODUCT(COUNTIF(C23:AG23,Codes)*(Codes&lt;&gt;"")*(CodeBucket="Sick")*CodeDays)</f>
        <v>0</v>
      </c>
      <c r="AK23" s="33">
        <f>SUMPRODUCT(COUNTIF(C23:AG23,Codes)*(Codes&lt;&gt;"")*(CodeBucket="Personal")*CodeDays)</f>
        <v>0</v>
      </c>
      <c r="AL23" s="34">
        <f>SUMPRODUCT(COUNTIF(C23:AG23,Codes)*(Codes&lt;&gt;"")*(CodeBucket="Other")*CodeDays)</f>
        <v>0</v>
      </c>
      <c r="AM23" s="35">
        <f>SUM(AI23:AL23)</f>
        <v>0</v>
      </c>
    </row>
    <row r="24" spans="2:39" ht="17" customHeight="1">
      <c r="B24" s="29">
        <f>IF(Summary!B24="","",Summary!B24)</f>
        <v>0</v>
      </c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30"/>
      <c r="S24" s="30"/>
      <c r="T24" s="30"/>
      <c r="U24" s="30"/>
      <c r="V24" s="30"/>
      <c r="W24" s="30"/>
      <c r="X24" s="30"/>
      <c r="Y24" s="30"/>
      <c r="Z24" s="30"/>
      <c r="AA24" s="30"/>
      <c r="AB24" s="30"/>
      <c r="AC24" s="30"/>
      <c r="AD24" s="30"/>
      <c r="AE24" s="30"/>
      <c r="AF24" s="30"/>
      <c r="AG24" s="30"/>
      <c r="AI24" s="31">
        <f>SUMPRODUCT(COUNTIF(C24:AG24,Codes)*(Codes&lt;&gt;"")*(CodeBucket="Vacation")*CodeDays)</f>
        <v>0</v>
      </c>
      <c r="AJ24" s="32">
        <f>SUMPRODUCT(COUNTIF(C24:AG24,Codes)*(Codes&lt;&gt;"")*(CodeBucket="Sick")*CodeDays)</f>
        <v>0</v>
      </c>
      <c r="AK24" s="33">
        <f>SUMPRODUCT(COUNTIF(C24:AG24,Codes)*(Codes&lt;&gt;"")*(CodeBucket="Personal")*CodeDays)</f>
        <v>0</v>
      </c>
      <c r="AL24" s="34">
        <f>SUMPRODUCT(COUNTIF(C24:AG24,Codes)*(Codes&lt;&gt;"")*(CodeBucket="Other")*CodeDays)</f>
        <v>0</v>
      </c>
      <c r="AM24" s="35">
        <f>SUM(AI24:AL24)</f>
        <v>0</v>
      </c>
    </row>
    <row r="25" spans="2:39" ht="17" customHeight="1">
      <c r="B25" s="29">
        <f>IF(Summary!B25="","",Summary!B25)</f>
        <v>0</v>
      </c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I25" s="31">
        <f>SUMPRODUCT(COUNTIF(C25:AG25,Codes)*(Codes&lt;&gt;"")*(CodeBucket="Vacation")*CodeDays)</f>
        <v>0</v>
      </c>
      <c r="AJ25" s="32">
        <f>SUMPRODUCT(COUNTIF(C25:AG25,Codes)*(Codes&lt;&gt;"")*(CodeBucket="Sick")*CodeDays)</f>
        <v>0</v>
      </c>
      <c r="AK25" s="33">
        <f>SUMPRODUCT(COUNTIF(C25:AG25,Codes)*(Codes&lt;&gt;"")*(CodeBucket="Personal")*CodeDays)</f>
        <v>0</v>
      </c>
      <c r="AL25" s="34">
        <f>SUMPRODUCT(COUNTIF(C25:AG25,Codes)*(Codes&lt;&gt;"")*(CodeBucket="Other")*CodeDays)</f>
        <v>0</v>
      </c>
      <c r="AM25" s="35">
        <f>SUM(AI25:AL25)</f>
        <v>0</v>
      </c>
    </row>
    <row r="26" spans="2:39" ht="17" customHeight="1">
      <c r="B26" s="29">
        <f>IF(Summary!B26="","",Summary!B26)</f>
        <v>0</v>
      </c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I26" s="31">
        <f>SUMPRODUCT(COUNTIF(C26:AG26,Codes)*(Codes&lt;&gt;"")*(CodeBucket="Vacation")*CodeDays)</f>
        <v>0</v>
      </c>
      <c r="AJ26" s="32">
        <f>SUMPRODUCT(COUNTIF(C26:AG26,Codes)*(Codes&lt;&gt;"")*(CodeBucket="Sick")*CodeDays)</f>
        <v>0</v>
      </c>
      <c r="AK26" s="33">
        <f>SUMPRODUCT(COUNTIF(C26:AG26,Codes)*(Codes&lt;&gt;"")*(CodeBucket="Personal")*CodeDays)</f>
        <v>0</v>
      </c>
      <c r="AL26" s="34">
        <f>SUMPRODUCT(COUNTIF(C26:AG26,Codes)*(Codes&lt;&gt;"")*(CodeBucket="Other")*CodeDays)</f>
        <v>0</v>
      </c>
      <c r="AM26" s="35">
        <f>SUM(AI26:AL26)</f>
        <v>0</v>
      </c>
    </row>
    <row r="27" spans="2:39" ht="17" customHeight="1">
      <c r="B27" s="29">
        <f>IF(Summary!B27="","",Summary!B27)</f>
        <v>0</v>
      </c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  <c r="AD27" s="30"/>
      <c r="AE27" s="30"/>
      <c r="AF27" s="30"/>
      <c r="AG27" s="30"/>
      <c r="AI27" s="31">
        <f>SUMPRODUCT(COUNTIF(C27:AG27,Codes)*(Codes&lt;&gt;"")*(CodeBucket="Vacation")*CodeDays)</f>
        <v>0</v>
      </c>
      <c r="AJ27" s="32">
        <f>SUMPRODUCT(COUNTIF(C27:AG27,Codes)*(Codes&lt;&gt;"")*(CodeBucket="Sick")*CodeDays)</f>
        <v>0</v>
      </c>
      <c r="AK27" s="33">
        <f>SUMPRODUCT(COUNTIF(C27:AG27,Codes)*(Codes&lt;&gt;"")*(CodeBucket="Personal")*CodeDays)</f>
        <v>0</v>
      </c>
      <c r="AL27" s="34">
        <f>SUMPRODUCT(COUNTIF(C27:AG27,Codes)*(Codes&lt;&gt;"")*(CodeBucket="Other")*CodeDays)</f>
        <v>0</v>
      </c>
      <c r="AM27" s="35">
        <f>SUM(AI27:AL27)</f>
        <v>0</v>
      </c>
    </row>
    <row r="28" spans="2:39" ht="17" customHeight="1">
      <c r="B28" s="29">
        <f>IF(Summary!B28="","",Summary!B28)</f>
        <v>0</v>
      </c>
      <c r="C28" s="30"/>
      <c r="D28" s="30"/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0"/>
      <c r="P28" s="30"/>
      <c r="Q28" s="30"/>
      <c r="R28" s="30"/>
      <c r="S28" s="30"/>
      <c r="T28" s="30"/>
      <c r="U28" s="30"/>
      <c r="V28" s="30"/>
      <c r="W28" s="30"/>
      <c r="X28" s="30"/>
      <c r="Y28" s="30"/>
      <c r="Z28" s="30"/>
      <c r="AA28" s="30"/>
      <c r="AB28" s="30"/>
      <c r="AC28" s="30"/>
      <c r="AD28" s="30"/>
      <c r="AE28" s="30"/>
      <c r="AF28" s="30"/>
      <c r="AG28" s="30"/>
      <c r="AI28" s="31">
        <f>SUMPRODUCT(COUNTIF(C28:AG28,Codes)*(Codes&lt;&gt;"")*(CodeBucket="Vacation")*CodeDays)</f>
        <v>0</v>
      </c>
      <c r="AJ28" s="32">
        <f>SUMPRODUCT(COUNTIF(C28:AG28,Codes)*(Codes&lt;&gt;"")*(CodeBucket="Sick")*CodeDays)</f>
        <v>0</v>
      </c>
      <c r="AK28" s="33">
        <f>SUMPRODUCT(COUNTIF(C28:AG28,Codes)*(Codes&lt;&gt;"")*(CodeBucket="Personal")*CodeDays)</f>
        <v>0</v>
      </c>
      <c r="AL28" s="34">
        <f>SUMPRODUCT(COUNTIF(C28:AG28,Codes)*(Codes&lt;&gt;"")*(CodeBucket="Other")*CodeDays)</f>
        <v>0</v>
      </c>
      <c r="AM28" s="35">
        <f>SUM(AI28:AL28)</f>
        <v>0</v>
      </c>
    </row>
    <row r="29" spans="2:39" ht="17" customHeight="1">
      <c r="B29" s="29">
        <f>IF(Summary!B29="","",Summary!B29)</f>
        <v>0</v>
      </c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30"/>
      <c r="AD29" s="30"/>
      <c r="AE29" s="30"/>
      <c r="AF29" s="30"/>
      <c r="AG29" s="30"/>
      <c r="AI29" s="31">
        <f>SUMPRODUCT(COUNTIF(C29:AG29,Codes)*(Codes&lt;&gt;"")*(CodeBucket="Vacation")*CodeDays)</f>
        <v>0</v>
      </c>
      <c r="AJ29" s="32">
        <f>SUMPRODUCT(COUNTIF(C29:AG29,Codes)*(Codes&lt;&gt;"")*(CodeBucket="Sick")*CodeDays)</f>
        <v>0</v>
      </c>
      <c r="AK29" s="33">
        <f>SUMPRODUCT(COUNTIF(C29:AG29,Codes)*(Codes&lt;&gt;"")*(CodeBucket="Personal")*CodeDays)</f>
        <v>0</v>
      </c>
      <c r="AL29" s="34">
        <f>SUMPRODUCT(COUNTIF(C29:AG29,Codes)*(Codes&lt;&gt;"")*(CodeBucket="Other")*CodeDays)</f>
        <v>0</v>
      </c>
      <c r="AM29" s="35">
        <f>SUM(AI29:AL29)</f>
        <v>0</v>
      </c>
    </row>
    <row r="30" spans="2:39" ht="17" customHeight="1">
      <c r="B30" s="29">
        <f>IF(Summary!B30="","",Summary!B30)</f>
        <v>0</v>
      </c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  <c r="AF30" s="30"/>
      <c r="AG30" s="30"/>
      <c r="AI30" s="31">
        <f>SUMPRODUCT(COUNTIF(C30:AG30,Codes)*(Codes&lt;&gt;"")*(CodeBucket="Vacation")*CodeDays)</f>
        <v>0</v>
      </c>
      <c r="AJ30" s="32">
        <f>SUMPRODUCT(COUNTIF(C30:AG30,Codes)*(Codes&lt;&gt;"")*(CodeBucket="Sick")*CodeDays)</f>
        <v>0</v>
      </c>
      <c r="AK30" s="33">
        <f>SUMPRODUCT(COUNTIF(C30:AG30,Codes)*(Codes&lt;&gt;"")*(CodeBucket="Personal")*CodeDays)</f>
        <v>0</v>
      </c>
      <c r="AL30" s="34">
        <f>SUMPRODUCT(COUNTIF(C30:AG30,Codes)*(Codes&lt;&gt;"")*(CodeBucket="Other")*CodeDays)</f>
        <v>0</v>
      </c>
      <c r="AM30" s="35">
        <f>SUM(AI30:AL30)</f>
        <v>0</v>
      </c>
    </row>
    <row r="31" spans="2:39" ht="16" customHeight="1">
      <c r="B31" s="36" t="s">
        <v>94</v>
      </c>
      <c r="C31" s="37">
        <f>IF(COUNTA(C6:C30)=0,"",COUNTA(C6:C30))</f>
        <v>0</v>
      </c>
      <c r="D31" s="37">
        <f>IF(COUNTA(D6:D30)=0,"",COUNTA(D6:D30))</f>
        <v>0</v>
      </c>
      <c r="E31" s="37">
        <f>IF(COUNTA(E6:E30)=0,"",COUNTA(E6:E30))</f>
        <v>0</v>
      </c>
      <c r="F31" s="37">
        <f>IF(COUNTA(F6:F30)=0,"",COUNTA(F6:F30))</f>
        <v>0</v>
      </c>
      <c r="G31" s="37">
        <f>IF(COUNTA(G6:G30)=0,"",COUNTA(G6:G30))</f>
        <v>0</v>
      </c>
      <c r="H31" s="37">
        <f>IF(COUNTA(H6:H30)=0,"",COUNTA(H6:H30))</f>
        <v>0</v>
      </c>
      <c r="I31" s="37">
        <f>IF(COUNTA(I6:I30)=0,"",COUNTA(I6:I30))</f>
        <v>0</v>
      </c>
      <c r="J31" s="37">
        <f>IF(COUNTA(J6:J30)=0,"",COUNTA(J6:J30))</f>
        <v>0</v>
      </c>
      <c r="K31" s="37">
        <f>IF(COUNTA(K6:K30)=0,"",COUNTA(K6:K30))</f>
        <v>0</v>
      </c>
      <c r="L31" s="37">
        <f>IF(COUNTA(L6:L30)=0,"",COUNTA(L6:L30))</f>
        <v>0</v>
      </c>
      <c r="M31" s="37">
        <f>IF(COUNTA(M6:M30)=0,"",COUNTA(M6:M30))</f>
        <v>0</v>
      </c>
      <c r="N31" s="37">
        <f>IF(COUNTA(N6:N30)=0,"",COUNTA(N6:N30))</f>
        <v>0</v>
      </c>
      <c r="O31" s="37">
        <f>IF(COUNTA(O6:O30)=0,"",COUNTA(O6:O30))</f>
        <v>0</v>
      </c>
      <c r="P31" s="37">
        <f>IF(COUNTA(P6:P30)=0,"",COUNTA(P6:P30))</f>
        <v>0</v>
      </c>
      <c r="Q31" s="37">
        <f>IF(COUNTA(Q6:Q30)=0,"",COUNTA(Q6:Q30))</f>
        <v>0</v>
      </c>
      <c r="R31" s="37">
        <f>IF(COUNTA(R6:R30)=0,"",COUNTA(R6:R30))</f>
        <v>0</v>
      </c>
      <c r="S31" s="37">
        <f>IF(COUNTA(S6:S30)=0,"",COUNTA(S6:S30))</f>
        <v>0</v>
      </c>
      <c r="T31" s="37">
        <f>IF(COUNTA(T6:T30)=0,"",COUNTA(T6:T30))</f>
        <v>0</v>
      </c>
      <c r="U31" s="37">
        <f>IF(COUNTA(U6:U30)=0,"",COUNTA(U6:U30))</f>
        <v>0</v>
      </c>
      <c r="V31" s="37">
        <f>IF(COUNTA(V6:V30)=0,"",COUNTA(V6:V30))</f>
        <v>0</v>
      </c>
      <c r="W31" s="37">
        <f>IF(COUNTA(W6:W30)=0,"",COUNTA(W6:W30))</f>
        <v>0</v>
      </c>
      <c r="X31" s="37">
        <f>IF(COUNTA(X6:X30)=0,"",COUNTA(X6:X30))</f>
        <v>0</v>
      </c>
      <c r="Y31" s="37">
        <f>IF(COUNTA(Y6:Y30)=0,"",COUNTA(Y6:Y30))</f>
        <v>0</v>
      </c>
      <c r="Z31" s="37">
        <f>IF(COUNTA(Z6:Z30)=0,"",COUNTA(Z6:Z30))</f>
        <v>0</v>
      </c>
      <c r="AA31" s="37">
        <f>IF(COUNTA(AA6:AA30)=0,"",COUNTA(AA6:AA30))</f>
        <v>0</v>
      </c>
      <c r="AB31" s="37">
        <f>IF(COUNTA(AB6:AB30)=0,"",COUNTA(AB6:AB30))</f>
        <v>0</v>
      </c>
      <c r="AC31" s="37">
        <f>IF(COUNTA(AC6:AC30)=0,"",COUNTA(AC6:AC30))</f>
        <v>0</v>
      </c>
      <c r="AD31" s="37">
        <f>IF(COUNTA(AD6:AD30)=0,"",COUNTA(AD6:AD30))</f>
        <v>0</v>
      </c>
      <c r="AE31" s="37">
        <f>IF(COUNTA(AE6:AE30)=0,"",COUNTA(AE6:AE30))</f>
        <v>0</v>
      </c>
      <c r="AF31" s="37">
        <f>IF(COUNTA(AF6:AF30)=0,"",COUNTA(AF6:AF30))</f>
        <v>0</v>
      </c>
      <c r="AG31" s="37">
        <f>IF(COUNTA(AG6:AG30)=0,"",COUNTA(AG6:AG30))</f>
        <v>0</v>
      </c>
    </row>
    <row r="33" spans="2:39">
      <c r="B33" s="38" t="s">
        <v>95</v>
      </c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8"/>
      <c r="AG33" s="38"/>
      <c r="AH33" s="38"/>
      <c r="AI33" s="38"/>
      <c r="AJ33" s="38"/>
      <c r="AK33" s="38"/>
      <c r="AL33" s="38"/>
      <c r="AM33" s="38"/>
    </row>
  </sheetData>
  <mergeCells count="9">
    <mergeCell ref="B2:I2"/>
    <mergeCell ref="J2:N2"/>
    <mergeCell ref="P2:AM2"/>
    <mergeCell ref="AI4:AI5"/>
    <mergeCell ref="AJ4:AJ5"/>
    <mergeCell ref="AK4:AK5"/>
    <mergeCell ref="AL4:AL5"/>
    <mergeCell ref="AM4:AM5"/>
    <mergeCell ref="B33:AM33"/>
  </mergeCells>
  <conditionalFormatting sqref="C4:AG5">
    <cfRule type="expression" dxfId="7" priority="8">
      <formula>AND(MONTH(DATE(CalYear,3,COLUMN()-2))=3,COUNTIFS(INDIRECT("Holidays!$C$6:$C$60"),DATE(CalYear,3,COLUMN()-2),INDIRECT("Holidays!$D$6:$D$60"),"Holiday")&gt;0)</formula>
    </cfRule>
  </conditionalFormatting>
  <conditionalFormatting sqref="C6:AG30">
    <cfRule type="expression" dxfId="0" priority="1" stopIfTrue="1">
      <formula>MONTH(DATE(CalYear,3,COLUMN()-2))&lt;&gt;3</formula>
    </cfRule>
    <cfRule type="expression" dxfId="1" priority="2" stopIfTrue="1">
      <formula>AND(C6&lt;&gt;"",COUNTIFS(INDIRECT("Setup!$B$9:$B$22"),C6,INDIRECT("Setup!$E$9:$E$22"),"Vacation")&gt;0)</formula>
    </cfRule>
    <cfRule type="expression" dxfId="2" priority="3" stopIfTrue="1">
      <formula>AND(C6&lt;&gt;"",COUNTIFS(INDIRECT("Setup!$B$9:$B$22"),C6,INDIRECT("Setup!$E$9:$E$22"),"Sick")&gt;0)</formula>
    </cfRule>
    <cfRule type="expression" dxfId="3" priority="4" stopIfTrue="1">
      <formula>AND(C6&lt;&gt;"",COUNTIFS(INDIRECT("Setup!$B$9:$B$22"),C6,INDIRECT("Setup!$E$9:$E$22"),"Personal")&gt;0)</formula>
    </cfRule>
    <cfRule type="expression" dxfId="4" priority="5" stopIfTrue="1">
      <formula>AND(C6&lt;&gt;"",COUNTIFS(INDIRECT("Setup!$B$9:$B$22"),C6,INDIRECT("Setup!$E$9:$E$22"),"Other")&gt;0)</formula>
    </cfRule>
    <cfRule type="expression" dxfId="5" priority="6" stopIfTrue="1">
      <formula>COUNTIFS(INDIRECT("Holidays!$C$6:$C$60"),DATE(CalYear,3,COLUMN()-2),INDIRECT("Holidays!$D$6:$D$60"),"Holiday")&gt;0</formula>
    </cfRule>
    <cfRule type="expression" dxfId="6" priority="7" stopIfTrue="1">
      <formula>OR(WEEKDAY(DATE(CalYear,3,COLUMN()-2))=1,WEEKDAY(DATE(CalYear,3,COLUMN()-2))=7)</formula>
    </cfRule>
  </conditionalFormatting>
  <dataValidations count="1">
    <dataValidation type="list" errorStyle="warning" allowBlank="1" showInputMessage="1" showErrorMessage="1" error="Not a code from the Setup tab (it won't be counted)." sqref="C6:AG30">
      <formula1>Codes</formula1>
    </dataValidation>
  </dataValidations>
  <printOptions horizontalCentered="1"/>
  <pageMargins left="0.3" right="0.3" top="0.3" bottom="0.3" header="0.3" footer="0.3"/>
  <pageSetup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2:AM33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/>
    </sheetView>
  </sheetViews>
  <sheetFormatPr defaultRowHeight="15"/>
  <cols>
    <col min="1" max="1" width="1.7109375" customWidth="1"/>
    <col min="2" max="2" width="18.7109375" customWidth="1"/>
    <col min="3" max="33" width="3.85546875" customWidth="1"/>
    <col min="34" max="34" width="1.7109375" customWidth="1"/>
    <col min="35" max="38" width="5.7109375" customWidth="1"/>
    <col min="39" max="39" width="6.28515625" customWidth="1"/>
  </cols>
  <sheetData>
    <row r="2" spans="2:39" ht="34" customHeight="1">
      <c r="B2" s="1" t="s">
        <v>98</v>
      </c>
      <c r="C2" s="1"/>
      <c r="D2" s="1"/>
      <c r="E2" s="1"/>
      <c r="F2" s="1"/>
      <c r="G2" s="1"/>
      <c r="H2" s="1"/>
      <c r="I2" s="1"/>
      <c r="J2" s="18">
        <f>CalYear</f>
        <v>0</v>
      </c>
      <c r="K2" s="18"/>
      <c r="L2" s="18"/>
      <c r="M2" s="18"/>
      <c r="N2" s="18"/>
      <c r="P2" s="19">
        <f>"Codes: "&amp;Setup!B9&amp;" "&amp;Setup!C9&amp;" · "&amp;Setup!B10&amp;" "&amp;Setup!C10&amp;" · "&amp;Setup!B11&amp;" "&amp;Setup!C11&amp;" · "&amp;Setup!B13&amp;" "&amp;Setup!C13&amp;" · "&amp;Setup!B15&amp;" "&amp;Setup!C15&amp;"   (full list on Setup)"</f>
        <v>0</v>
      </c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</row>
    <row r="4" spans="2:39" ht="14" customHeight="1">
      <c r="B4" s="20"/>
      <c r="C4" s="21">
        <f>IF(MONTH(DATE(CalYear,4,1))=4,CHOOSE(WEEKDAY(DATE(CalYear,4,1)),"S","M","T","W","T","F","S"),"")</f>
        <v>0</v>
      </c>
      <c r="D4" s="21">
        <f>IF(MONTH(DATE(CalYear,4,2))=4,CHOOSE(WEEKDAY(DATE(CalYear,4,2)),"S","M","T","W","T","F","S"),"")</f>
        <v>0</v>
      </c>
      <c r="E4" s="21">
        <f>IF(MONTH(DATE(CalYear,4,3))=4,CHOOSE(WEEKDAY(DATE(CalYear,4,3)),"S","M","T","W","T","F","S"),"")</f>
        <v>0</v>
      </c>
      <c r="F4" s="21">
        <f>IF(MONTH(DATE(CalYear,4,4))=4,CHOOSE(WEEKDAY(DATE(CalYear,4,4)),"S","M","T","W","T","F","S"),"")</f>
        <v>0</v>
      </c>
      <c r="G4" s="21">
        <f>IF(MONTH(DATE(CalYear,4,5))=4,CHOOSE(WEEKDAY(DATE(CalYear,4,5)),"S","M","T","W","T","F","S"),"")</f>
        <v>0</v>
      </c>
      <c r="H4" s="21">
        <f>IF(MONTH(DATE(CalYear,4,6))=4,CHOOSE(WEEKDAY(DATE(CalYear,4,6)),"S","M","T","W","T","F","S"),"")</f>
        <v>0</v>
      </c>
      <c r="I4" s="21">
        <f>IF(MONTH(DATE(CalYear,4,7))=4,CHOOSE(WEEKDAY(DATE(CalYear,4,7)),"S","M","T","W","T","F","S"),"")</f>
        <v>0</v>
      </c>
      <c r="J4" s="21">
        <f>IF(MONTH(DATE(CalYear,4,8))=4,CHOOSE(WEEKDAY(DATE(CalYear,4,8)),"S","M","T","W","T","F","S"),"")</f>
        <v>0</v>
      </c>
      <c r="K4" s="21">
        <f>IF(MONTH(DATE(CalYear,4,9))=4,CHOOSE(WEEKDAY(DATE(CalYear,4,9)),"S","M","T","W","T","F","S"),"")</f>
        <v>0</v>
      </c>
      <c r="L4" s="21">
        <f>IF(MONTH(DATE(CalYear,4,10))=4,CHOOSE(WEEKDAY(DATE(CalYear,4,10)),"S","M","T","W","T","F","S"),"")</f>
        <v>0</v>
      </c>
      <c r="M4" s="21">
        <f>IF(MONTH(DATE(CalYear,4,11))=4,CHOOSE(WEEKDAY(DATE(CalYear,4,11)),"S","M","T","W","T","F","S"),"")</f>
        <v>0</v>
      </c>
      <c r="N4" s="21">
        <f>IF(MONTH(DATE(CalYear,4,12))=4,CHOOSE(WEEKDAY(DATE(CalYear,4,12)),"S","M","T","W","T","F","S"),"")</f>
        <v>0</v>
      </c>
      <c r="O4" s="21">
        <f>IF(MONTH(DATE(CalYear,4,13))=4,CHOOSE(WEEKDAY(DATE(CalYear,4,13)),"S","M","T","W","T","F","S"),"")</f>
        <v>0</v>
      </c>
      <c r="P4" s="21">
        <f>IF(MONTH(DATE(CalYear,4,14))=4,CHOOSE(WEEKDAY(DATE(CalYear,4,14)),"S","M","T","W","T","F","S"),"")</f>
        <v>0</v>
      </c>
      <c r="Q4" s="21">
        <f>IF(MONTH(DATE(CalYear,4,15))=4,CHOOSE(WEEKDAY(DATE(CalYear,4,15)),"S","M","T","W","T","F","S"),"")</f>
        <v>0</v>
      </c>
      <c r="R4" s="21">
        <f>IF(MONTH(DATE(CalYear,4,16))=4,CHOOSE(WEEKDAY(DATE(CalYear,4,16)),"S","M","T","W","T","F","S"),"")</f>
        <v>0</v>
      </c>
      <c r="S4" s="21">
        <f>IF(MONTH(DATE(CalYear,4,17))=4,CHOOSE(WEEKDAY(DATE(CalYear,4,17)),"S","M","T","W","T","F","S"),"")</f>
        <v>0</v>
      </c>
      <c r="T4" s="21">
        <f>IF(MONTH(DATE(CalYear,4,18))=4,CHOOSE(WEEKDAY(DATE(CalYear,4,18)),"S","M","T","W","T","F","S"),"")</f>
        <v>0</v>
      </c>
      <c r="U4" s="21">
        <f>IF(MONTH(DATE(CalYear,4,19))=4,CHOOSE(WEEKDAY(DATE(CalYear,4,19)),"S","M","T","W","T","F","S"),"")</f>
        <v>0</v>
      </c>
      <c r="V4" s="21">
        <f>IF(MONTH(DATE(CalYear,4,20))=4,CHOOSE(WEEKDAY(DATE(CalYear,4,20)),"S","M","T","W","T","F","S"),"")</f>
        <v>0</v>
      </c>
      <c r="W4" s="21">
        <f>IF(MONTH(DATE(CalYear,4,21))=4,CHOOSE(WEEKDAY(DATE(CalYear,4,21)),"S","M","T","W","T","F","S"),"")</f>
        <v>0</v>
      </c>
      <c r="X4" s="21">
        <f>IF(MONTH(DATE(CalYear,4,22))=4,CHOOSE(WEEKDAY(DATE(CalYear,4,22)),"S","M","T","W","T","F","S"),"")</f>
        <v>0</v>
      </c>
      <c r="Y4" s="21">
        <f>IF(MONTH(DATE(CalYear,4,23))=4,CHOOSE(WEEKDAY(DATE(CalYear,4,23)),"S","M","T","W","T","F","S"),"")</f>
        <v>0</v>
      </c>
      <c r="Z4" s="21">
        <f>IF(MONTH(DATE(CalYear,4,24))=4,CHOOSE(WEEKDAY(DATE(CalYear,4,24)),"S","M","T","W","T","F","S"),"")</f>
        <v>0</v>
      </c>
      <c r="AA4" s="21">
        <f>IF(MONTH(DATE(CalYear,4,25))=4,CHOOSE(WEEKDAY(DATE(CalYear,4,25)),"S","M","T","W","T","F","S"),"")</f>
        <v>0</v>
      </c>
      <c r="AB4" s="21">
        <f>IF(MONTH(DATE(CalYear,4,26))=4,CHOOSE(WEEKDAY(DATE(CalYear,4,26)),"S","M","T","W","T","F","S"),"")</f>
        <v>0</v>
      </c>
      <c r="AC4" s="21">
        <f>IF(MONTH(DATE(CalYear,4,27))=4,CHOOSE(WEEKDAY(DATE(CalYear,4,27)),"S","M","T","W","T","F","S"),"")</f>
        <v>0</v>
      </c>
      <c r="AD4" s="21">
        <f>IF(MONTH(DATE(CalYear,4,28))=4,CHOOSE(WEEKDAY(DATE(CalYear,4,28)),"S","M","T","W","T","F","S"),"")</f>
        <v>0</v>
      </c>
      <c r="AE4" s="21">
        <f>IF(MONTH(DATE(CalYear,4,29))=4,CHOOSE(WEEKDAY(DATE(CalYear,4,29)),"S","M","T","W","T","F","S"),"")</f>
        <v>0</v>
      </c>
      <c r="AF4" s="21">
        <f>IF(MONTH(DATE(CalYear,4,30))=4,CHOOSE(WEEKDAY(DATE(CalYear,4,30)),"S","M","T","W","T","F","S"),"")</f>
        <v>0</v>
      </c>
      <c r="AG4" s="21">
        <f>IF(MONTH(DATE(CalYear,4,31))=4,CHOOSE(WEEKDAY(DATE(CalYear,4,31)),"S","M","T","W","T","F","S"),"")</f>
        <v>0</v>
      </c>
      <c r="AI4" s="22" t="s">
        <v>89</v>
      </c>
      <c r="AJ4" s="23" t="s">
        <v>90</v>
      </c>
      <c r="AK4" s="24" t="s">
        <v>91</v>
      </c>
      <c r="AL4" s="25" t="s">
        <v>92</v>
      </c>
      <c r="AM4" s="26" t="s">
        <v>93</v>
      </c>
    </row>
    <row r="5" spans="2:39" ht="18" customHeight="1">
      <c r="B5" s="27" t="s">
        <v>68</v>
      </c>
      <c r="C5" s="28">
        <f>IF(MONTH(DATE(CalYear,4,1))=4,1,"")</f>
        <v>0</v>
      </c>
      <c r="D5" s="28">
        <f>IF(MONTH(DATE(CalYear,4,2))=4,2,"")</f>
        <v>0</v>
      </c>
      <c r="E5" s="28">
        <f>IF(MONTH(DATE(CalYear,4,3))=4,3,"")</f>
        <v>0</v>
      </c>
      <c r="F5" s="28">
        <f>IF(MONTH(DATE(CalYear,4,4))=4,4,"")</f>
        <v>0</v>
      </c>
      <c r="G5" s="28">
        <f>IF(MONTH(DATE(CalYear,4,5))=4,5,"")</f>
        <v>0</v>
      </c>
      <c r="H5" s="28">
        <f>IF(MONTH(DATE(CalYear,4,6))=4,6,"")</f>
        <v>0</v>
      </c>
      <c r="I5" s="28">
        <f>IF(MONTH(DATE(CalYear,4,7))=4,7,"")</f>
        <v>0</v>
      </c>
      <c r="J5" s="28">
        <f>IF(MONTH(DATE(CalYear,4,8))=4,8,"")</f>
        <v>0</v>
      </c>
      <c r="K5" s="28">
        <f>IF(MONTH(DATE(CalYear,4,9))=4,9,"")</f>
        <v>0</v>
      </c>
      <c r="L5" s="28">
        <f>IF(MONTH(DATE(CalYear,4,10))=4,10,"")</f>
        <v>0</v>
      </c>
      <c r="M5" s="28">
        <f>IF(MONTH(DATE(CalYear,4,11))=4,11,"")</f>
        <v>0</v>
      </c>
      <c r="N5" s="28">
        <f>IF(MONTH(DATE(CalYear,4,12))=4,12,"")</f>
        <v>0</v>
      </c>
      <c r="O5" s="28">
        <f>IF(MONTH(DATE(CalYear,4,13))=4,13,"")</f>
        <v>0</v>
      </c>
      <c r="P5" s="28">
        <f>IF(MONTH(DATE(CalYear,4,14))=4,14,"")</f>
        <v>0</v>
      </c>
      <c r="Q5" s="28">
        <f>IF(MONTH(DATE(CalYear,4,15))=4,15,"")</f>
        <v>0</v>
      </c>
      <c r="R5" s="28">
        <f>IF(MONTH(DATE(CalYear,4,16))=4,16,"")</f>
        <v>0</v>
      </c>
      <c r="S5" s="28">
        <f>IF(MONTH(DATE(CalYear,4,17))=4,17,"")</f>
        <v>0</v>
      </c>
      <c r="T5" s="28">
        <f>IF(MONTH(DATE(CalYear,4,18))=4,18,"")</f>
        <v>0</v>
      </c>
      <c r="U5" s="28">
        <f>IF(MONTH(DATE(CalYear,4,19))=4,19,"")</f>
        <v>0</v>
      </c>
      <c r="V5" s="28">
        <f>IF(MONTH(DATE(CalYear,4,20))=4,20,"")</f>
        <v>0</v>
      </c>
      <c r="W5" s="28">
        <f>IF(MONTH(DATE(CalYear,4,21))=4,21,"")</f>
        <v>0</v>
      </c>
      <c r="X5" s="28">
        <f>IF(MONTH(DATE(CalYear,4,22))=4,22,"")</f>
        <v>0</v>
      </c>
      <c r="Y5" s="28">
        <f>IF(MONTH(DATE(CalYear,4,23))=4,23,"")</f>
        <v>0</v>
      </c>
      <c r="Z5" s="28">
        <f>IF(MONTH(DATE(CalYear,4,24))=4,24,"")</f>
        <v>0</v>
      </c>
      <c r="AA5" s="28">
        <f>IF(MONTH(DATE(CalYear,4,25))=4,25,"")</f>
        <v>0</v>
      </c>
      <c r="AB5" s="28">
        <f>IF(MONTH(DATE(CalYear,4,26))=4,26,"")</f>
        <v>0</v>
      </c>
      <c r="AC5" s="28">
        <f>IF(MONTH(DATE(CalYear,4,27))=4,27,"")</f>
        <v>0</v>
      </c>
      <c r="AD5" s="28">
        <f>IF(MONTH(DATE(CalYear,4,28))=4,28,"")</f>
        <v>0</v>
      </c>
      <c r="AE5" s="28">
        <f>IF(MONTH(DATE(CalYear,4,29))=4,29,"")</f>
        <v>0</v>
      </c>
      <c r="AF5" s="28">
        <f>IF(MONTH(DATE(CalYear,4,30))=4,30,"")</f>
        <v>0</v>
      </c>
      <c r="AG5" s="28">
        <f>IF(MONTH(DATE(CalYear,4,31))=4,31,"")</f>
        <v>0</v>
      </c>
      <c r="AI5" s="22"/>
      <c r="AJ5" s="23"/>
      <c r="AK5" s="24"/>
      <c r="AL5" s="25"/>
      <c r="AM5" s="26"/>
    </row>
    <row r="6" spans="2:39" ht="17" customHeight="1">
      <c r="B6" s="29">
        <f>IF(Summary!B6="","",Summary!B6)</f>
        <v>0</v>
      </c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  <c r="AE6" s="30"/>
      <c r="AF6" s="30"/>
      <c r="AG6" s="30"/>
      <c r="AI6" s="31">
        <f>SUMPRODUCT(COUNTIF(C6:AG6,Codes)*(Codes&lt;&gt;"")*(CodeBucket="Vacation")*CodeDays)</f>
        <v>0</v>
      </c>
      <c r="AJ6" s="32">
        <f>SUMPRODUCT(COUNTIF(C6:AG6,Codes)*(Codes&lt;&gt;"")*(CodeBucket="Sick")*CodeDays)</f>
        <v>0</v>
      </c>
      <c r="AK6" s="33">
        <f>SUMPRODUCT(COUNTIF(C6:AG6,Codes)*(Codes&lt;&gt;"")*(CodeBucket="Personal")*CodeDays)</f>
        <v>0</v>
      </c>
      <c r="AL6" s="34">
        <f>SUMPRODUCT(COUNTIF(C6:AG6,Codes)*(Codes&lt;&gt;"")*(CodeBucket="Other")*CodeDays)</f>
        <v>0</v>
      </c>
      <c r="AM6" s="35">
        <f>SUM(AI6:AL6)</f>
        <v>0</v>
      </c>
    </row>
    <row r="7" spans="2:39" ht="17" customHeight="1">
      <c r="B7" s="29">
        <f>IF(Summary!B7="","",Summary!B7)</f>
        <v>0</v>
      </c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  <c r="AB7" s="30"/>
      <c r="AC7" s="30"/>
      <c r="AD7" s="30"/>
      <c r="AE7" s="30"/>
      <c r="AF7" s="30"/>
      <c r="AG7" s="30"/>
      <c r="AI7" s="31">
        <f>SUMPRODUCT(COUNTIF(C7:AG7,Codes)*(Codes&lt;&gt;"")*(CodeBucket="Vacation")*CodeDays)</f>
        <v>0</v>
      </c>
      <c r="AJ7" s="32">
        <f>SUMPRODUCT(COUNTIF(C7:AG7,Codes)*(Codes&lt;&gt;"")*(CodeBucket="Sick")*CodeDays)</f>
        <v>0</v>
      </c>
      <c r="AK7" s="33">
        <f>SUMPRODUCT(COUNTIF(C7:AG7,Codes)*(Codes&lt;&gt;"")*(CodeBucket="Personal")*CodeDays)</f>
        <v>0</v>
      </c>
      <c r="AL7" s="34">
        <f>SUMPRODUCT(COUNTIF(C7:AG7,Codes)*(Codes&lt;&gt;"")*(CodeBucket="Other")*CodeDays)</f>
        <v>0</v>
      </c>
      <c r="AM7" s="35">
        <f>SUM(AI7:AL7)</f>
        <v>0</v>
      </c>
    </row>
    <row r="8" spans="2:39" ht="17" customHeight="1">
      <c r="B8" s="29">
        <f>IF(Summary!B8="","",Summary!B8)</f>
        <v>0</v>
      </c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30"/>
      <c r="AA8" s="30"/>
      <c r="AB8" s="30"/>
      <c r="AC8" s="30"/>
      <c r="AD8" s="30"/>
      <c r="AE8" s="30"/>
      <c r="AF8" s="30"/>
      <c r="AG8" s="30"/>
      <c r="AI8" s="31">
        <f>SUMPRODUCT(COUNTIF(C8:AG8,Codes)*(Codes&lt;&gt;"")*(CodeBucket="Vacation")*CodeDays)</f>
        <v>0</v>
      </c>
      <c r="AJ8" s="32">
        <f>SUMPRODUCT(COUNTIF(C8:AG8,Codes)*(Codes&lt;&gt;"")*(CodeBucket="Sick")*CodeDays)</f>
        <v>0</v>
      </c>
      <c r="AK8" s="33">
        <f>SUMPRODUCT(COUNTIF(C8:AG8,Codes)*(Codes&lt;&gt;"")*(CodeBucket="Personal")*CodeDays)</f>
        <v>0</v>
      </c>
      <c r="AL8" s="34">
        <f>SUMPRODUCT(COUNTIF(C8:AG8,Codes)*(Codes&lt;&gt;"")*(CodeBucket="Other")*CodeDays)</f>
        <v>0</v>
      </c>
      <c r="AM8" s="35">
        <f>SUM(AI8:AL8)</f>
        <v>0</v>
      </c>
    </row>
    <row r="9" spans="2:39" ht="17" customHeight="1">
      <c r="B9" s="29">
        <f>IF(Summary!B9="","",Summary!B9)</f>
        <v>0</v>
      </c>
      <c r="C9" s="30"/>
      <c r="D9" s="30"/>
      <c r="E9" s="30"/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  <c r="AB9" s="30"/>
      <c r="AC9" s="30"/>
      <c r="AD9" s="30"/>
      <c r="AE9" s="30"/>
      <c r="AF9" s="30"/>
      <c r="AG9" s="30"/>
      <c r="AI9" s="31">
        <f>SUMPRODUCT(COUNTIF(C9:AG9,Codes)*(Codes&lt;&gt;"")*(CodeBucket="Vacation")*CodeDays)</f>
        <v>0</v>
      </c>
      <c r="AJ9" s="32">
        <f>SUMPRODUCT(COUNTIF(C9:AG9,Codes)*(Codes&lt;&gt;"")*(CodeBucket="Sick")*CodeDays)</f>
        <v>0</v>
      </c>
      <c r="AK9" s="33">
        <f>SUMPRODUCT(COUNTIF(C9:AG9,Codes)*(Codes&lt;&gt;"")*(CodeBucket="Personal")*CodeDays)</f>
        <v>0</v>
      </c>
      <c r="AL9" s="34">
        <f>SUMPRODUCT(COUNTIF(C9:AG9,Codes)*(Codes&lt;&gt;"")*(CodeBucket="Other")*CodeDays)</f>
        <v>0</v>
      </c>
      <c r="AM9" s="35">
        <f>SUM(AI9:AL9)</f>
        <v>0</v>
      </c>
    </row>
    <row r="10" spans="2:39" ht="17" customHeight="1">
      <c r="B10" s="29">
        <f>IF(Summary!B10="","",Summary!B10)</f>
        <v>0</v>
      </c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  <c r="AA10" s="30"/>
      <c r="AB10" s="30"/>
      <c r="AC10" s="30"/>
      <c r="AD10" s="30"/>
      <c r="AE10" s="30"/>
      <c r="AF10" s="30"/>
      <c r="AG10" s="30"/>
      <c r="AI10" s="31">
        <f>SUMPRODUCT(COUNTIF(C10:AG10,Codes)*(Codes&lt;&gt;"")*(CodeBucket="Vacation")*CodeDays)</f>
        <v>0</v>
      </c>
      <c r="AJ10" s="32">
        <f>SUMPRODUCT(COUNTIF(C10:AG10,Codes)*(Codes&lt;&gt;"")*(CodeBucket="Sick")*CodeDays)</f>
        <v>0</v>
      </c>
      <c r="AK10" s="33">
        <f>SUMPRODUCT(COUNTIF(C10:AG10,Codes)*(Codes&lt;&gt;"")*(CodeBucket="Personal")*CodeDays)</f>
        <v>0</v>
      </c>
      <c r="AL10" s="34">
        <f>SUMPRODUCT(COUNTIF(C10:AG10,Codes)*(Codes&lt;&gt;"")*(CodeBucket="Other")*CodeDays)</f>
        <v>0</v>
      </c>
      <c r="AM10" s="35">
        <f>SUM(AI10:AL10)</f>
        <v>0</v>
      </c>
    </row>
    <row r="11" spans="2:39" ht="17" customHeight="1">
      <c r="B11" s="29">
        <f>IF(Summary!B11="","",Summary!B11)</f>
        <v>0</v>
      </c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  <c r="AA11" s="30"/>
      <c r="AB11" s="30"/>
      <c r="AC11" s="30"/>
      <c r="AD11" s="30"/>
      <c r="AE11" s="30"/>
      <c r="AF11" s="30"/>
      <c r="AG11" s="30"/>
      <c r="AI11" s="31">
        <f>SUMPRODUCT(COUNTIF(C11:AG11,Codes)*(Codes&lt;&gt;"")*(CodeBucket="Vacation")*CodeDays)</f>
        <v>0</v>
      </c>
      <c r="AJ11" s="32">
        <f>SUMPRODUCT(COUNTIF(C11:AG11,Codes)*(Codes&lt;&gt;"")*(CodeBucket="Sick")*CodeDays)</f>
        <v>0</v>
      </c>
      <c r="AK11" s="33">
        <f>SUMPRODUCT(COUNTIF(C11:AG11,Codes)*(Codes&lt;&gt;"")*(CodeBucket="Personal")*CodeDays)</f>
        <v>0</v>
      </c>
      <c r="AL11" s="34">
        <f>SUMPRODUCT(COUNTIF(C11:AG11,Codes)*(Codes&lt;&gt;"")*(CodeBucket="Other")*CodeDays)</f>
        <v>0</v>
      </c>
      <c r="AM11" s="35">
        <f>SUM(AI11:AL11)</f>
        <v>0</v>
      </c>
    </row>
    <row r="12" spans="2:39" ht="17" customHeight="1">
      <c r="B12" s="29">
        <f>IF(Summary!B12="","",Summary!B12)</f>
        <v>0</v>
      </c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0"/>
      <c r="S12" s="30"/>
      <c r="T12" s="30"/>
      <c r="U12" s="30"/>
      <c r="V12" s="30"/>
      <c r="W12" s="30"/>
      <c r="X12" s="30"/>
      <c r="Y12" s="30"/>
      <c r="Z12" s="30"/>
      <c r="AA12" s="30"/>
      <c r="AB12" s="30"/>
      <c r="AC12" s="30"/>
      <c r="AD12" s="30"/>
      <c r="AE12" s="30"/>
      <c r="AF12" s="30"/>
      <c r="AG12" s="30"/>
      <c r="AI12" s="31">
        <f>SUMPRODUCT(COUNTIF(C12:AG12,Codes)*(Codes&lt;&gt;"")*(CodeBucket="Vacation")*CodeDays)</f>
        <v>0</v>
      </c>
      <c r="AJ12" s="32">
        <f>SUMPRODUCT(COUNTIF(C12:AG12,Codes)*(Codes&lt;&gt;"")*(CodeBucket="Sick")*CodeDays)</f>
        <v>0</v>
      </c>
      <c r="AK12" s="33">
        <f>SUMPRODUCT(COUNTIF(C12:AG12,Codes)*(Codes&lt;&gt;"")*(CodeBucket="Personal")*CodeDays)</f>
        <v>0</v>
      </c>
      <c r="AL12" s="34">
        <f>SUMPRODUCT(COUNTIF(C12:AG12,Codes)*(Codes&lt;&gt;"")*(CodeBucket="Other")*CodeDays)</f>
        <v>0</v>
      </c>
      <c r="AM12" s="35">
        <f>SUM(AI12:AL12)</f>
        <v>0</v>
      </c>
    </row>
    <row r="13" spans="2:39" ht="17" customHeight="1">
      <c r="B13" s="29">
        <f>IF(Summary!B13="","",Summary!B13)</f>
        <v>0</v>
      </c>
      <c r="C13" s="30"/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30"/>
      <c r="T13" s="30"/>
      <c r="U13" s="30"/>
      <c r="V13" s="30"/>
      <c r="W13" s="30"/>
      <c r="X13" s="30"/>
      <c r="Y13" s="30"/>
      <c r="Z13" s="30"/>
      <c r="AA13" s="30"/>
      <c r="AB13" s="30"/>
      <c r="AC13" s="30"/>
      <c r="AD13" s="30"/>
      <c r="AE13" s="30"/>
      <c r="AF13" s="30"/>
      <c r="AG13" s="30"/>
      <c r="AI13" s="31">
        <f>SUMPRODUCT(COUNTIF(C13:AG13,Codes)*(Codes&lt;&gt;"")*(CodeBucket="Vacation")*CodeDays)</f>
        <v>0</v>
      </c>
      <c r="AJ13" s="32">
        <f>SUMPRODUCT(COUNTIF(C13:AG13,Codes)*(Codes&lt;&gt;"")*(CodeBucket="Sick")*CodeDays)</f>
        <v>0</v>
      </c>
      <c r="AK13" s="33">
        <f>SUMPRODUCT(COUNTIF(C13:AG13,Codes)*(Codes&lt;&gt;"")*(CodeBucket="Personal")*CodeDays)</f>
        <v>0</v>
      </c>
      <c r="AL13" s="34">
        <f>SUMPRODUCT(COUNTIF(C13:AG13,Codes)*(Codes&lt;&gt;"")*(CodeBucket="Other")*CodeDays)</f>
        <v>0</v>
      </c>
      <c r="AM13" s="35">
        <f>SUM(AI13:AL13)</f>
        <v>0</v>
      </c>
    </row>
    <row r="14" spans="2:39" ht="17" customHeight="1">
      <c r="B14" s="29">
        <f>IF(Summary!B14="","",Summary!B14)</f>
        <v>0</v>
      </c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30"/>
      <c r="U14" s="30"/>
      <c r="V14" s="30"/>
      <c r="W14" s="30"/>
      <c r="X14" s="30"/>
      <c r="Y14" s="30"/>
      <c r="Z14" s="30"/>
      <c r="AA14" s="30"/>
      <c r="AB14" s="30"/>
      <c r="AC14" s="30"/>
      <c r="AD14" s="30"/>
      <c r="AE14" s="30"/>
      <c r="AF14" s="30"/>
      <c r="AG14" s="30"/>
      <c r="AI14" s="31">
        <f>SUMPRODUCT(COUNTIF(C14:AG14,Codes)*(Codes&lt;&gt;"")*(CodeBucket="Vacation")*CodeDays)</f>
        <v>0</v>
      </c>
      <c r="AJ14" s="32">
        <f>SUMPRODUCT(COUNTIF(C14:AG14,Codes)*(Codes&lt;&gt;"")*(CodeBucket="Sick")*CodeDays)</f>
        <v>0</v>
      </c>
      <c r="AK14" s="33">
        <f>SUMPRODUCT(COUNTIF(C14:AG14,Codes)*(Codes&lt;&gt;"")*(CodeBucket="Personal")*CodeDays)</f>
        <v>0</v>
      </c>
      <c r="AL14" s="34">
        <f>SUMPRODUCT(COUNTIF(C14:AG14,Codes)*(Codes&lt;&gt;"")*(CodeBucket="Other")*CodeDays)</f>
        <v>0</v>
      </c>
      <c r="AM14" s="35">
        <f>SUM(AI14:AL14)</f>
        <v>0</v>
      </c>
    </row>
    <row r="15" spans="2:39" ht="17" customHeight="1">
      <c r="B15" s="29">
        <f>IF(Summary!B15="","",Summary!B15)</f>
        <v>0</v>
      </c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0"/>
      <c r="AA15" s="30"/>
      <c r="AB15" s="30"/>
      <c r="AC15" s="30"/>
      <c r="AD15" s="30"/>
      <c r="AE15" s="30"/>
      <c r="AF15" s="30"/>
      <c r="AG15" s="30"/>
      <c r="AI15" s="31">
        <f>SUMPRODUCT(COUNTIF(C15:AG15,Codes)*(Codes&lt;&gt;"")*(CodeBucket="Vacation")*CodeDays)</f>
        <v>0</v>
      </c>
      <c r="AJ15" s="32">
        <f>SUMPRODUCT(COUNTIF(C15:AG15,Codes)*(Codes&lt;&gt;"")*(CodeBucket="Sick")*CodeDays)</f>
        <v>0</v>
      </c>
      <c r="AK15" s="33">
        <f>SUMPRODUCT(COUNTIF(C15:AG15,Codes)*(Codes&lt;&gt;"")*(CodeBucket="Personal")*CodeDays)</f>
        <v>0</v>
      </c>
      <c r="AL15" s="34">
        <f>SUMPRODUCT(COUNTIF(C15:AG15,Codes)*(Codes&lt;&gt;"")*(CodeBucket="Other")*CodeDays)</f>
        <v>0</v>
      </c>
      <c r="AM15" s="35">
        <f>SUM(AI15:AL15)</f>
        <v>0</v>
      </c>
    </row>
    <row r="16" spans="2:39" ht="17" customHeight="1">
      <c r="B16" s="29">
        <f>IF(Summary!B16="","",Summary!B16)</f>
        <v>0</v>
      </c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0"/>
      <c r="R16" s="30"/>
      <c r="S16" s="30"/>
      <c r="T16" s="30"/>
      <c r="U16" s="30"/>
      <c r="V16" s="30"/>
      <c r="W16" s="30"/>
      <c r="X16" s="30"/>
      <c r="Y16" s="30"/>
      <c r="Z16" s="30"/>
      <c r="AA16" s="30"/>
      <c r="AB16" s="30"/>
      <c r="AC16" s="30"/>
      <c r="AD16" s="30"/>
      <c r="AE16" s="30"/>
      <c r="AF16" s="30"/>
      <c r="AG16" s="30"/>
      <c r="AI16" s="31">
        <f>SUMPRODUCT(COUNTIF(C16:AG16,Codes)*(Codes&lt;&gt;"")*(CodeBucket="Vacation")*CodeDays)</f>
        <v>0</v>
      </c>
      <c r="AJ16" s="32">
        <f>SUMPRODUCT(COUNTIF(C16:AG16,Codes)*(Codes&lt;&gt;"")*(CodeBucket="Sick")*CodeDays)</f>
        <v>0</v>
      </c>
      <c r="AK16" s="33">
        <f>SUMPRODUCT(COUNTIF(C16:AG16,Codes)*(Codes&lt;&gt;"")*(CodeBucket="Personal")*CodeDays)</f>
        <v>0</v>
      </c>
      <c r="AL16" s="34">
        <f>SUMPRODUCT(COUNTIF(C16:AG16,Codes)*(Codes&lt;&gt;"")*(CodeBucket="Other")*CodeDays)</f>
        <v>0</v>
      </c>
      <c r="AM16" s="35">
        <f>SUM(AI16:AL16)</f>
        <v>0</v>
      </c>
    </row>
    <row r="17" spans="2:39" ht="17" customHeight="1">
      <c r="B17" s="29">
        <f>IF(Summary!B17="","",Summary!B17)</f>
        <v>0</v>
      </c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  <c r="O17" s="30"/>
      <c r="P17" s="30"/>
      <c r="Q17" s="30"/>
      <c r="R17" s="30"/>
      <c r="S17" s="30"/>
      <c r="T17" s="30"/>
      <c r="U17" s="30"/>
      <c r="V17" s="30"/>
      <c r="W17" s="30"/>
      <c r="X17" s="30"/>
      <c r="Y17" s="30"/>
      <c r="Z17" s="30"/>
      <c r="AA17" s="30"/>
      <c r="AB17" s="30"/>
      <c r="AC17" s="30"/>
      <c r="AD17" s="30"/>
      <c r="AE17" s="30"/>
      <c r="AF17" s="30"/>
      <c r="AG17" s="30"/>
      <c r="AI17" s="31">
        <f>SUMPRODUCT(COUNTIF(C17:AG17,Codes)*(Codes&lt;&gt;"")*(CodeBucket="Vacation")*CodeDays)</f>
        <v>0</v>
      </c>
      <c r="AJ17" s="32">
        <f>SUMPRODUCT(COUNTIF(C17:AG17,Codes)*(Codes&lt;&gt;"")*(CodeBucket="Sick")*CodeDays)</f>
        <v>0</v>
      </c>
      <c r="AK17" s="33">
        <f>SUMPRODUCT(COUNTIF(C17:AG17,Codes)*(Codes&lt;&gt;"")*(CodeBucket="Personal")*CodeDays)</f>
        <v>0</v>
      </c>
      <c r="AL17" s="34">
        <f>SUMPRODUCT(COUNTIF(C17:AG17,Codes)*(Codes&lt;&gt;"")*(CodeBucket="Other")*CodeDays)</f>
        <v>0</v>
      </c>
      <c r="AM17" s="35">
        <f>SUM(AI17:AL17)</f>
        <v>0</v>
      </c>
    </row>
    <row r="18" spans="2:39" ht="17" customHeight="1">
      <c r="B18" s="29">
        <f>IF(Summary!B18="","",Summary!B18)</f>
        <v>0</v>
      </c>
      <c r="C18" s="30"/>
      <c r="D18" s="30"/>
      <c r="E18" s="30"/>
      <c r="F18" s="30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30"/>
      <c r="R18" s="30"/>
      <c r="S18" s="30"/>
      <c r="T18" s="30"/>
      <c r="U18" s="30"/>
      <c r="V18" s="30"/>
      <c r="W18" s="30"/>
      <c r="X18" s="30"/>
      <c r="Y18" s="30"/>
      <c r="Z18" s="30"/>
      <c r="AA18" s="30"/>
      <c r="AB18" s="30"/>
      <c r="AC18" s="30"/>
      <c r="AD18" s="30"/>
      <c r="AE18" s="30"/>
      <c r="AF18" s="30"/>
      <c r="AG18" s="30"/>
      <c r="AI18" s="31">
        <f>SUMPRODUCT(COUNTIF(C18:AG18,Codes)*(Codes&lt;&gt;"")*(CodeBucket="Vacation")*CodeDays)</f>
        <v>0</v>
      </c>
      <c r="AJ18" s="32">
        <f>SUMPRODUCT(COUNTIF(C18:AG18,Codes)*(Codes&lt;&gt;"")*(CodeBucket="Sick")*CodeDays)</f>
        <v>0</v>
      </c>
      <c r="AK18" s="33">
        <f>SUMPRODUCT(COUNTIF(C18:AG18,Codes)*(Codes&lt;&gt;"")*(CodeBucket="Personal")*CodeDays)</f>
        <v>0</v>
      </c>
      <c r="AL18" s="34">
        <f>SUMPRODUCT(COUNTIF(C18:AG18,Codes)*(Codes&lt;&gt;"")*(CodeBucket="Other")*CodeDays)</f>
        <v>0</v>
      </c>
      <c r="AM18" s="35">
        <f>SUM(AI18:AL18)</f>
        <v>0</v>
      </c>
    </row>
    <row r="19" spans="2:39" ht="17" customHeight="1">
      <c r="B19" s="29">
        <f>IF(Summary!B19="","",Summary!B19)</f>
        <v>0</v>
      </c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30"/>
      <c r="AE19" s="30"/>
      <c r="AF19" s="30"/>
      <c r="AG19" s="30"/>
      <c r="AI19" s="31">
        <f>SUMPRODUCT(COUNTIF(C19:AG19,Codes)*(Codes&lt;&gt;"")*(CodeBucket="Vacation")*CodeDays)</f>
        <v>0</v>
      </c>
      <c r="AJ19" s="32">
        <f>SUMPRODUCT(COUNTIF(C19:AG19,Codes)*(Codes&lt;&gt;"")*(CodeBucket="Sick")*CodeDays)</f>
        <v>0</v>
      </c>
      <c r="AK19" s="33">
        <f>SUMPRODUCT(COUNTIF(C19:AG19,Codes)*(Codes&lt;&gt;"")*(CodeBucket="Personal")*CodeDays)</f>
        <v>0</v>
      </c>
      <c r="AL19" s="34">
        <f>SUMPRODUCT(COUNTIF(C19:AG19,Codes)*(Codes&lt;&gt;"")*(CodeBucket="Other")*CodeDays)</f>
        <v>0</v>
      </c>
      <c r="AM19" s="35">
        <f>SUM(AI19:AL19)</f>
        <v>0</v>
      </c>
    </row>
    <row r="20" spans="2:39" ht="17" customHeight="1">
      <c r="B20" s="29">
        <f>IF(Summary!B20="","",Summary!B20)</f>
        <v>0</v>
      </c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0"/>
      <c r="V20" s="30"/>
      <c r="W20" s="30"/>
      <c r="X20" s="30"/>
      <c r="Y20" s="30"/>
      <c r="Z20" s="30"/>
      <c r="AA20" s="30"/>
      <c r="AB20" s="30"/>
      <c r="AC20" s="30"/>
      <c r="AD20" s="30"/>
      <c r="AE20" s="30"/>
      <c r="AF20" s="30"/>
      <c r="AG20" s="30"/>
      <c r="AI20" s="31">
        <f>SUMPRODUCT(COUNTIF(C20:AG20,Codes)*(Codes&lt;&gt;"")*(CodeBucket="Vacation")*CodeDays)</f>
        <v>0</v>
      </c>
      <c r="AJ20" s="32">
        <f>SUMPRODUCT(COUNTIF(C20:AG20,Codes)*(Codes&lt;&gt;"")*(CodeBucket="Sick")*CodeDays)</f>
        <v>0</v>
      </c>
      <c r="AK20" s="33">
        <f>SUMPRODUCT(COUNTIF(C20:AG20,Codes)*(Codes&lt;&gt;"")*(CodeBucket="Personal")*CodeDays)</f>
        <v>0</v>
      </c>
      <c r="AL20" s="34">
        <f>SUMPRODUCT(COUNTIF(C20:AG20,Codes)*(Codes&lt;&gt;"")*(CodeBucket="Other")*CodeDays)</f>
        <v>0</v>
      </c>
      <c r="AM20" s="35">
        <f>SUM(AI20:AL20)</f>
        <v>0</v>
      </c>
    </row>
    <row r="21" spans="2:39" ht="17" customHeight="1">
      <c r="B21" s="29">
        <f>IF(Summary!B21="","",Summary!B21)</f>
        <v>0</v>
      </c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0"/>
      <c r="P21" s="30"/>
      <c r="Q21" s="30"/>
      <c r="R21" s="30"/>
      <c r="S21" s="30"/>
      <c r="T21" s="30"/>
      <c r="U21" s="30"/>
      <c r="V21" s="30"/>
      <c r="W21" s="30"/>
      <c r="X21" s="30"/>
      <c r="Y21" s="30"/>
      <c r="Z21" s="30"/>
      <c r="AA21" s="30"/>
      <c r="AB21" s="30"/>
      <c r="AC21" s="30"/>
      <c r="AD21" s="30"/>
      <c r="AE21" s="30"/>
      <c r="AF21" s="30"/>
      <c r="AG21" s="30"/>
      <c r="AI21" s="31">
        <f>SUMPRODUCT(COUNTIF(C21:AG21,Codes)*(Codes&lt;&gt;"")*(CodeBucket="Vacation")*CodeDays)</f>
        <v>0</v>
      </c>
      <c r="AJ21" s="32">
        <f>SUMPRODUCT(COUNTIF(C21:AG21,Codes)*(Codes&lt;&gt;"")*(CodeBucket="Sick")*CodeDays)</f>
        <v>0</v>
      </c>
      <c r="AK21" s="33">
        <f>SUMPRODUCT(COUNTIF(C21:AG21,Codes)*(Codes&lt;&gt;"")*(CodeBucket="Personal")*CodeDays)</f>
        <v>0</v>
      </c>
      <c r="AL21" s="34">
        <f>SUMPRODUCT(COUNTIF(C21:AG21,Codes)*(Codes&lt;&gt;"")*(CodeBucket="Other")*CodeDays)</f>
        <v>0</v>
      </c>
      <c r="AM21" s="35">
        <f>SUM(AI21:AL21)</f>
        <v>0</v>
      </c>
    </row>
    <row r="22" spans="2:39" ht="17" customHeight="1">
      <c r="B22" s="29">
        <f>IF(Summary!B22="","",Summary!B22)</f>
        <v>0</v>
      </c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0"/>
      <c r="W22" s="30"/>
      <c r="X22" s="30"/>
      <c r="Y22" s="30"/>
      <c r="Z22" s="30"/>
      <c r="AA22" s="30"/>
      <c r="AB22" s="30"/>
      <c r="AC22" s="30"/>
      <c r="AD22" s="30"/>
      <c r="AE22" s="30"/>
      <c r="AF22" s="30"/>
      <c r="AG22" s="30"/>
      <c r="AI22" s="31">
        <f>SUMPRODUCT(COUNTIF(C22:AG22,Codes)*(Codes&lt;&gt;"")*(CodeBucket="Vacation")*CodeDays)</f>
        <v>0</v>
      </c>
      <c r="AJ22" s="32">
        <f>SUMPRODUCT(COUNTIF(C22:AG22,Codes)*(Codes&lt;&gt;"")*(CodeBucket="Sick")*CodeDays)</f>
        <v>0</v>
      </c>
      <c r="AK22" s="33">
        <f>SUMPRODUCT(COUNTIF(C22:AG22,Codes)*(Codes&lt;&gt;"")*(CodeBucket="Personal")*CodeDays)</f>
        <v>0</v>
      </c>
      <c r="AL22" s="34">
        <f>SUMPRODUCT(COUNTIF(C22:AG22,Codes)*(Codes&lt;&gt;"")*(CodeBucket="Other")*CodeDays)</f>
        <v>0</v>
      </c>
      <c r="AM22" s="35">
        <f>SUM(AI22:AL22)</f>
        <v>0</v>
      </c>
    </row>
    <row r="23" spans="2:39" ht="17" customHeight="1">
      <c r="B23" s="29">
        <f>IF(Summary!B23="","",Summary!B23)</f>
        <v>0</v>
      </c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30"/>
      <c r="S23" s="30"/>
      <c r="T23" s="30"/>
      <c r="U23" s="30"/>
      <c r="V23" s="30"/>
      <c r="W23" s="30"/>
      <c r="X23" s="30"/>
      <c r="Y23" s="30"/>
      <c r="Z23" s="30"/>
      <c r="AA23" s="30"/>
      <c r="AB23" s="30"/>
      <c r="AC23" s="30"/>
      <c r="AD23" s="30"/>
      <c r="AE23" s="30"/>
      <c r="AF23" s="30"/>
      <c r="AG23" s="30"/>
      <c r="AI23" s="31">
        <f>SUMPRODUCT(COUNTIF(C23:AG23,Codes)*(Codes&lt;&gt;"")*(CodeBucket="Vacation")*CodeDays)</f>
        <v>0</v>
      </c>
      <c r="AJ23" s="32">
        <f>SUMPRODUCT(COUNTIF(C23:AG23,Codes)*(Codes&lt;&gt;"")*(CodeBucket="Sick")*CodeDays)</f>
        <v>0</v>
      </c>
      <c r="AK23" s="33">
        <f>SUMPRODUCT(COUNTIF(C23:AG23,Codes)*(Codes&lt;&gt;"")*(CodeBucket="Personal")*CodeDays)</f>
        <v>0</v>
      </c>
      <c r="AL23" s="34">
        <f>SUMPRODUCT(COUNTIF(C23:AG23,Codes)*(Codes&lt;&gt;"")*(CodeBucket="Other")*CodeDays)</f>
        <v>0</v>
      </c>
      <c r="AM23" s="35">
        <f>SUM(AI23:AL23)</f>
        <v>0</v>
      </c>
    </row>
    <row r="24" spans="2:39" ht="17" customHeight="1">
      <c r="B24" s="29">
        <f>IF(Summary!B24="","",Summary!B24)</f>
        <v>0</v>
      </c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30"/>
      <c r="S24" s="30"/>
      <c r="T24" s="30"/>
      <c r="U24" s="30"/>
      <c r="V24" s="30"/>
      <c r="W24" s="30"/>
      <c r="X24" s="30"/>
      <c r="Y24" s="30"/>
      <c r="Z24" s="30"/>
      <c r="AA24" s="30"/>
      <c r="AB24" s="30"/>
      <c r="AC24" s="30"/>
      <c r="AD24" s="30"/>
      <c r="AE24" s="30"/>
      <c r="AF24" s="30"/>
      <c r="AG24" s="30"/>
      <c r="AI24" s="31">
        <f>SUMPRODUCT(COUNTIF(C24:AG24,Codes)*(Codes&lt;&gt;"")*(CodeBucket="Vacation")*CodeDays)</f>
        <v>0</v>
      </c>
      <c r="AJ24" s="32">
        <f>SUMPRODUCT(COUNTIF(C24:AG24,Codes)*(Codes&lt;&gt;"")*(CodeBucket="Sick")*CodeDays)</f>
        <v>0</v>
      </c>
      <c r="AK24" s="33">
        <f>SUMPRODUCT(COUNTIF(C24:AG24,Codes)*(Codes&lt;&gt;"")*(CodeBucket="Personal")*CodeDays)</f>
        <v>0</v>
      </c>
      <c r="AL24" s="34">
        <f>SUMPRODUCT(COUNTIF(C24:AG24,Codes)*(Codes&lt;&gt;"")*(CodeBucket="Other")*CodeDays)</f>
        <v>0</v>
      </c>
      <c r="AM24" s="35">
        <f>SUM(AI24:AL24)</f>
        <v>0</v>
      </c>
    </row>
    <row r="25" spans="2:39" ht="17" customHeight="1">
      <c r="B25" s="29">
        <f>IF(Summary!B25="","",Summary!B25)</f>
        <v>0</v>
      </c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I25" s="31">
        <f>SUMPRODUCT(COUNTIF(C25:AG25,Codes)*(Codes&lt;&gt;"")*(CodeBucket="Vacation")*CodeDays)</f>
        <v>0</v>
      </c>
      <c r="AJ25" s="32">
        <f>SUMPRODUCT(COUNTIF(C25:AG25,Codes)*(Codes&lt;&gt;"")*(CodeBucket="Sick")*CodeDays)</f>
        <v>0</v>
      </c>
      <c r="AK25" s="33">
        <f>SUMPRODUCT(COUNTIF(C25:AG25,Codes)*(Codes&lt;&gt;"")*(CodeBucket="Personal")*CodeDays)</f>
        <v>0</v>
      </c>
      <c r="AL25" s="34">
        <f>SUMPRODUCT(COUNTIF(C25:AG25,Codes)*(Codes&lt;&gt;"")*(CodeBucket="Other")*CodeDays)</f>
        <v>0</v>
      </c>
      <c r="AM25" s="35">
        <f>SUM(AI25:AL25)</f>
        <v>0</v>
      </c>
    </row>
    <row r="26" spans="2:39" ht="17" customHeight="1">
      <c r="B26" s="29">
        <f>IF(Summary!B26="","",Summary!B26)</f>
        <v>0</v>
      </c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I26" s="31">
        <f>SUMPRODUCT(COUNTIF(C26:AG26,Codes)*(Codes&lt;&gt;"")*(CodeBucket="Vacation")*CodeDays)</f>
        <v>0</v>
      </c>
      <c r="AJ26" s="32">
        <f>SUMPRODUCT(COUNTIF(C26:AG26,Codes)*(Codes&lt;&gt;"")*(CodeBucket="Sick")*CodeDays)</f>
        <v>0</v>
      </c>
      <c r="AK26" s="33">
        <f>SUMPRODUCT(COUNTIF(C26:AG26,Codes)*(Codes&lt;&gt;"")*(CodeBucket="Personal")*CodeDays)</f>
        <v>0</v>
      </c>
      <c r="AL26" s="34">
        <f>SUMPRODUCT(COUNTIF(C26:AG26,Codes)*(Codes&lt;&gt;"")*(CodeBucket="Other")*CodeDays)</f>
        <v>0</v>
      </c>
      <c r="AM26" s="35">
        <f>SUM(AI26:AL26)</f>
        <v>0</v>
      </c>
    </row>
    <row r="27" spans="2:39" ht="17" customHeight="1">
      <c r="B27" s="29">
        <f>IF(Summary!B27="","",Summary!B27)</f>
        <v>0</v>
      </c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  <c r="AD27" s="30"/>
      <c r="AE27" s="30"/>
      <c r="AF27" s="30"/>
      <c r="AG27" s="30"/>
      <c r="AI27" s="31">
        <f>SUMPRODUCT(COUNTIF(C27:AG27,Codes)*(Codes&lt;&gt;"")*(CodeBucket="Vacation")*CodeDays)</f>
        <v>0</v>
      </c>
      <c r="AJ27" s="32">
        <f>SUMPRODUCT(COUNTIF(C27:AG27,Codes)*(Codes&lt;&gt;"")*(CodeBucket="Sick")*CodeDays)</f>
        <v>0</v>
      </c>
      <c r="AK27" s="33">
        <f>SUMPRODUCT(COUNTIF(C27:AG27,Codes)*(Codes&lt;&gt;"")*(CodeBucket="Personal")*CodeDays)</f>
        <v>0</v>
      </c>
      <c r="AL27" s="34">
        <f>SUMPRODUCT(COUNTIF(C27:AG27,Codes)*(Codes&lt;&gt;"")*(CodeBucket="Other")*CodeDays)</f>
        <v>0</v>
      </c>
      <c r="AM27" s="35">
        <f>SUM(AI27:AL27)</f>
        <v>0</v>
      </c>
    </row>
    <row r="28" spans="2:39" ht="17" customHeight="1">
      <c r="B28" s="29">
        <f>IF(Summary!B28="","",Summary!B28)</f>
        <v>0</v>
      </c>
      <c r="C28" s="30"/>
      <c r="D28" s="30"/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0"/>
      <c r="P28" s="30"/>
      <c r="Q28" s="30"/>
      <c r="R28" s="30"/>
      <c r="S28" s="30"/>
      <c r="T28" s="30"/>
      <c r="U28" s="30"/>
      <c r="V28" s="30"/>
      <c r="W28" s="30"/>
      <c r="X28" s="30"/>
      <c r="Y28" s="30"/>
      <c r="Z28" s="30"/>
      <c r="AA28" s="30"/>
      <c r="AB28" s="30"/>
      <c r="AC28" s="30"/>
      <c r="AD28" s="30"/>
      <c r="AE28" s="30"/>
      <c r="AF28" s="30"/>
      <c r="AG28" s="30"/>
      <c r="AI28" s="31">
        <f>SUMPRODUCT(COUNTIF(C28:AG28,Codes)*(Codes&lt;&gt;"")*(CodeBucket="Vacation")*CodeDays)</f>
        <v>0</v>
      </c>
      <c r="AJ28" s="32">
        <f>SUMPRODUCT(COUNTIF(C28:AG28,Codes)*(Codes&lt;&gt;"")*(CodeBucket="Sick")*CodeDays)</f>
        <v>0</v>
      </c>
      <c r="AK28" s="33">
        <f>SUMPRODUCT(COUNTIF(C28:AG28,Codes)*(Codes&lt;&gt;"")*(CodeBucket="Personal")*CodeDays)</f>
        <v>0</v>
      </c>
      <c r="AL28" s="34">
        <f>SUMPRODUCT(COUNTIF(C28:AG28,Codes)*(Codes&lt;&gt;"")*(CodeBucket="Other")*CodeDays)</f>
        <v>0</v>
      </c>
      <c r="AM28" s="35">
        <f>SUM(AI28:AL28)</f>
        <v>0</v>
      </c>
    </row>
    <row r="29" spans="2:39" ht="17" customHeight="1">
      <c r="B29" s="29">
        <f>IF(Summary!B29="","",Summary!B29)</f>
        <v>0</v>
      </c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30"/>
      <c r="AD29" s="30"/>
      <c r="AE29" s="30"/>
      <c r="AF29" s="30"/>
      <c r="AG29" s="30"/>
      <c r="AI29" s="31">
        <f>SUMPRODUCT(COUNTIF(C29:AG29,Codes)*(Codes&lt;&gt;"")*(CodeBucket="Vacation")*CodeDays)</f>
        <v>0</v>
      </c>
      <c r="AJ29" s="32">
        <f>SUMPRODUCT(COUNTIF(C29:AG29,Codes)*(Codes&lt;&gt;"")*(CodeBucket="Sick")*CodeDays)</f>
        <v>0</v>
      </c>
      <c r="AK29" s="33">
        <f>SUMPRODUCT(COUNTIF(C29:AG29,Codes)*(Codes&lt;&gt;"")*(CodeBucket="Personal")*CodeDays)</f>
        <v>0</v>
      </c>
      <c r="AL29" s="34">
        <f>SUMPRODUCT(COUNTIF(C29:AG29,Codes)*(Codes&lt;&gt;"")*(CodeBucket="Other")*CodeDays)</f>
        <v>0</v>
      </c>
      <c r="AM29" s="35">
        <f>SUM(AI29:AL29)</f>
        <v>0</v>
      </c>
    </row>
    <row r="30" spans="2:39" ht="17" customHeight="1">
      <c r="B30" s="29">
        <f>IF(Summary!B30="","",Summary!B30)</f>
        <v>0</v>
      </c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  <c r="AF30" s="30"/>
      <c r="AG30" s="30"/>
      <c r="AI30" s="31">
        <f>SUMPRODUCT(COUNTIF(C30:AG30,Codes)*(Codes&lt;&gt;"")*(CodeBucket="Vacation")*CodeDays)</f>
        <v>0</v>
      </c>
      <c r="AJ30" s="32">
        <f>SUMPRODUCT(COUNTIF(C30:AG30,Codes)*(Codes&lt;&gt;"")*(CodeBucket="Sick")*CodeDays)</f>
        <v>0</v>
      </c>
      <c r="AK30" s="33">
        <f>SUMPRODUCT(COUNTIF(C30:AG30,Codes)*(Codes&lt;&gt;"")*(CodeBucket="Personal")*CodeDays)</f>
        <v>0</v>
      </c>
      <c r="AL30" s="34">
        <f>SUMPRODUCT(COUNTIF(C30:AG30,Codes)*(Codes&lt;&gt;"")*(CodeBucket="Other")*CodeDays)</f>
        <v>0</v>
      </c>
      <c r="AM30" s="35">
        <f>SUM(AI30:AL30)</f>
        <v>0</v>
      </c>
    </row>
    <row r="31" spans="2:39" ht="16" customHeight="1">
      <c r="B31" s="36" t="s">
        <v>94</v>
      </c>
      <c r="C31" s="37">
        <f>IF(COUNTA(C6:C30)=0,"",COUNTA(C6:C30))</f>
        <v>0</v>
      </c>
      <c r="D31" s="37">
        <f>IF(COUNTA(D6:D30)=0,"",COUNTA(D6:D30))</f>
        <v>0</v>
      </c>
      <c r="E31" s="37">
        <f>IF(COUNTA(E6:E30)=0,"",COUNTA(E6:E30))</f>
        <v>0</v>
      </c>
      <c r="F31" s="37">
        <f>IF(COUNTA(F6:F30)=0,"",COUNTA(F6:F30))</f>
        <v>0</v>
      </c>
      <c r="G31" s="37">
        <f>IF(COUNTA(G6:G30)=0,"",COUNTA(G6:G30))</f>
        <v>0</v>
      </c>
      <c r="H31" s="37">
        <f>IF(COUNTA(H6:H30)=0,"",COUNTA(H6:H30))</f>
        <v>0</v>
      </c>
      <c r="I31" s="37">
        <f>IF(COUNTA(I6:I30)=0,"",COUNTA(I6:I30))</f>
        <v>0</v>
      </c>
      <c r="J31" s="37">
        <f>IF(COUNTA(J6:J30)=0,"",COUNTA(J6:J30))</f>
        <v>0</v>
      </c>
      <c r="K31" s="37">
        <f>IF(COUNTA(K6:K30)=0,"",COUNTA(K6:K30))</f>
        <v>0</v>
      </c>
      <c r="L31" s="37">
        <f>IF(COUNTA(L6:L30)=0,"",COUNTA(L6:L30))</f>
        <v>0</v>
      </c>
      <c r="M31" s="37">
        <f>IF(COUNTA(M6:M30)=0,"",COUNTA(M6:M30))</f>
        <v>0</v>
      </c>
      <c r="N31" s="37">
        <f>IF(COUNTA(N6:N30)=0,"",COUNTA(N6:N30))</f>
        <v>0</v>
      </c>
      <c r="O31" s="37">
        <f>IF(COUNTA(O6:O30)=0,"",COUNTA(O6:O30))</f>
        <v>0</v>
      </c>
      <c r="P31" s="37">
        <f>IF(COUNTA(P6:P30)=0,"",COUNTA(P6:P30))</f>
        <v>0</v>
      </c>
      <c r="Q31" s="37">
        <f>IF(COUNTA(Q6:Q30)=0,"",COUNTA(Q6:Q30))</f>
        <v>0</v>
      </c>
      <c r="R31" s="37">
        <f>IF(COUNTA(R6:R30)=0,"",COUNTA(R6:R30))</f>
        <v>0</v>
      </c>
      <c r="S31" s="37">
        <f>IF(COUNTA(S6:S30)=0,"",COUNTA(S6:S30))</f>
        <v>0</v>
      </c>
      <c r="T31" s="37">
        <f>IF(COUNTA(T6:T30)=0,"",COUNTA(T6:T30))</f>
        <v>0</v>
      </c>
      <c r="U31" s="37">
        <f>IF(COUNTA(U6:U30)=0,"",COUNTA(U6:U30))</f>
        <v>0</v>
      </c>
      <c r="V31" s="37">
        <f>IF(COUNTA(V6:V30)=0,"",COUNTA(V6:V30))</f>
        <v>0</v>
      </c>
      <c r="W31" s="37">
        <f>IF(COUNTA(W6:W30)=0,"",COUNTA(W6:W30))</f>
        <v>0</v>
      </c>
      <c r="X31" s="37">
        <f>IF(COUNTA(X6:X30)=0,"",COUNTA(X6:X30))</f>
        <v>0</v>
      </c>
      <c r="Y31" s="37">
        <f>IF(COUNTA(Y6:Y30)=0,"",COUNTA(Y6:Y30))</f>
        <v>0</v>
      </c>
      <c r="Z31" s="37">
        <f>IF(COUNTA(Z6:Z30)=0,"",COUNTA(Z6:Z30))</f>
        <v>0</v>
      </c>
      <c r="AA31" s="37">
        <f>IF(COUNTA(AA6:AA30)=0,"",COUNTA(AA6:AA30))</f>
        <v>0</v>
      </c>
      <c r="AB31" s="37">
        <f>IF(COUNTA(AB6:AB30)=0,"",COUNTA(AB6:AB30))</f>
        <v>0</v>
      </c>
      <c r="AC31" s="37">
        <f>IF(COUNTA(AC6:AC30)=0,"",COUNTA(AC6:AC30))</f>
        <v>0</v>
      </c>
      <c r="AD31" s="37">
        <f>IF(COUNTA(AD6:AD30)=0,"",COUNTA(AD6:AD30))</f>
        <v>0</v>
      </c>
      <c r="AE31" s="37">
        <f>IF(COUNTA(AE6:AE30)=0,"",COUNTA(AE6:AE30))</f>
        <v>0</v>
      </c>
      <c r="AF31" s="37">
        <f>IF(COUNTA(AF6:AF30)=0,"",COUNTA(AF6:AF30))</f>
        <v>0</v>
      </c>
      <c r="AG31" s="37">
        <f>IF(COUNTA(AG6:AG30)=0,"",COUNTA(AG6:AG30))</f>
        <v>0</v>
      </c>
    </row>
    <row r="33" spans="2:39">
      <c r="B33" s="38" t="s">
        <v>95</v>
      </c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8"/>
      <c r="AG33" s="38"/>
      <c r="AH33" s="38"/>
      <c r="AI33" s="38"/>
      <c r="AJ33" s="38"/>
      <c r="AK33" s="38"/>
      <c r="AL33" s="38"/>
      <c r="AM33" s="38"/>
    </row>
  </sheetData>
  <mergeCells count="9">
    <mergeCell ref="B2:I2"/>
    <mergeCell ref="J2:N2"/>
    <mergeCell ref="P2:AM2"/>
    <mergeCell ref="AI4:AI5"/>
    <mergeCell ref="AJ4:AJ5"/>
    <mergeCell ref="AK4:AK5"/>
    <mergeCell ref="AL4:AL5"/>
    <mergeCell ref="AM4:AM5"/>
    <mergeCell ref="B33:AM33"/>
  </mergeCells>
  <conditionalFormatting sqref="C4:AG5">
    <cfRule type="expression" dxfId="7" priority="8">
      <formula>AND(MONTH(DATE(CalYear,4,COLUMN()-2))=4,COUNTIFS(INDIRECT("Holidays!$C$6:$C$60"),DATE(CalYear,4,COLUMN()-2),INDIRECT("Holidays!$D$6:$D$60"),"Holiday")&gt;0)</formula>
    </cfRule>
  </conditionalFormatting>
  <conditionalFormatting sqref="C6:AG30">
    <cfRule type="expression" dxfId="0" priority="1" stopIfTrue="1">
      <formula>MONTH(DATE(CalYear,4,COLUMN()-2))&lt;&gt;4</formula>
    </cfRule>
    <cfRule type="expression" dxfId="1" priority="2" stopIfTrue="1">
      <formula>AND(C6&lt;&gt;"",COUNTIFS(INDIRECT("Setup!$B$9:$B$22"),C6,INDIRECT("Setup!$E$9:$E$22"),"Vacation")&gt;0)</formula>
    </cfRule>
    <cfRule type="expression" dxfId="2" priority="3" stopIfTrue="1">
      <formula>AND(C6&lt;&gt;"",COUNTIFS(INDIRECT("Setup!$B$9:$B$22"),C6,INDIRECT("Setup!$E$9:$E$22"),"Sick")&gt;0)</formula>
    </cfRule>
    <cfRule type="expression" dxfId="3" priority="4" stopIfTrue="1">
      <formula>AND(C6&lt;&gt;"",COUNTIFS(INDIRECT("Setup!$B$9:$B$22"),C6,INDIRECT("Setup!$E$9:$E$22"),"Personal")&gt;0)</formula>
    </cfRule>
    <cfRule type="expression" dxfId="4" priority="5" stopIfTrue="1">
      <formula>AND(C6&lt;&gt;"",COUNTIFS(INDIRECT("Setup!$B$9:$B$22"),C6,INDIRECT("Setup!$E$9:$E$22"),"Other")&gt;0)</formula>
    </cfRule>
    <cfRule type="expression" dxfId="5" priority="6" stopIfTrue="1">
      <formula>COUNTIFS(INDIRECT("Holidays!$C$6:$C$60"),DATE(CalYear,4,COLUMN()-2),INDIRECT("Holidays!$D$6:$D$60"),"Holiday")&gt;0</formula>
    </cfRule>
    <cfRule type="expression" dxfId="6" priority="7" stopIfTrue="1">
      <formula>OR(WEEKDAY(DATE(CalYear,4,COLUMN()-2))=1,WEEKDAY(DATE(CalYear,4,COLUMN()-2))=7)</formula>
    </cfRule>
  </conditionalFormatting>
  <dataValidations count="1">
    <dataValidation type="list" errorStyle="warning" allowBlank="1" showInputMessage="1" showErrorMessage="1" error="Not a code from the Setup tab (it won't be counted)." sqref="C6:AG30">
      <formula1>Codes</formula1>
    </dataValidation>
  </dataValidations>
  <printOptions horizontalCentered="1"/>
  <pageMargins left="0.3" right="0.3" top="0.3" bottom="0.3" header="0.3" footer="0.3"/>
  <pageSetup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2:AM33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/>
    </sheetView>
  </sheetViews>
  <sheetFormatPr defaultRowHeight="15"/>
  <cols>
    <col min="1" max="1" width="1.7109375" customWidth="1"/>
    <col min="2" max="2" width="18.7109375" customWidth="1"/>
    <col min="3" max="33" width="3.85546875" customWidth="1"/>
    <col min="34" max="34" width="1.7109375" customWidth="1"/>
    <col min="35" max="38" width="5.7109375" customWidth="1"/>
    <col min="39" max="39" width="6.28515625" customWidth="1"/>
  </cols>
  <sheetData>
    <row r="2" spans="2:39" ht="34" customHeight="1">
      <c r="B2" s="1" t="s">
        <v>99</v>
      </c>
      <c r="C2" s="1"/>
      <c r="D2" s="1"/>
      <c r="E2" s="1"/>
      <c r="F2" s="1"/>
      <c r="G2" s="1"/>
      <c r="H2" s="1"/>
      <c r="I2" s="1"/>
      <c r="J2" s="18">
        <f>CalYear</f>
        <v>0</v>
      </c>
      <c r="K2" s="18"/>
      <c r="L2" s="18"/>
      <c r="M2" s="18"/>
      <c r="N2" s="18"/>
      <c r="P2" s="19">
        <f>"Codes: "&amp;Setup!B9&amp;" "&amp;Setup!C9&amp;" · "&amp;Setup!B10&amp;" "&amp;Setup!C10&amp;" · "&amp;Setup!B11&amp;" "&amp;Setup!C11&amp;" · "&amp;Setup!B13&amp;" "&amp;Setup!C13&amp;" · "&amp;Setup!B15&amp;" "&amp;Setup!C15&amp;"   (full list on Setup)"</f>
        <v>0</v>
      </c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</row>
    <row r="4" spans="2:39" ht="14" customHeight="1">
      <c r="B4" s="20"/>
      <c r="C4" s="21">
        <f>IF(MONTH(DATE(CalYear,5,1))=5,CHOOSE(WEEKDAY(DATE(CalYear,5,1)),"S","M","T","W","T","F","S"),"")</f>
        <v>0</v>
      </c>
      <c r="D4" s="21">
        <f>IF(MONTH(DATE(CalYear,5,2))=5,CHOOSE(WEEKDAY(DATE(CalYear,5,2)),"S","M","T","W","T","F","S"),"")</f>
        <v>0</v>
      </c>
      <c r="E4" s="21">
        <f>IF(MONTH(DATE(CalYear,5,3))=5,CHOOSE(WEEKDAY(DATE(CalYear,5,3)),"S","M","T","W","T","F","S"),"")</f>
        <v>0</v>
      </c>
      <c r="F4" s="21">
        <f>IF(MONTH(DATE(CalYear,5,4))=5,CHOOSE(WEEKDAY(DATE(CalYear,5,4)),"S","M","T","W","T","F","S"),"")</f>
        <v>0</v>
      </c>
      <c r="G4" s="21">
        <f>IF(MONTH(DATE(CalYear,5,5))=5,CHOOSE(WEEKDAY(DATE(CalYear,5,5)),"S","M","T","W","T","F","S"),"")</f>
        <v>0</v>
      </c>
      <c r="H4" s="21">
        <f>IF(MONTH(DATE(CalYear,5,6))=5,CHOOSE(WEEKDAY(DATE(CalYear,5,6)),"S","M","T","W","T","F","S"),"")</f>
        <v>0</v>
      </c>
      <c r="I4" s="21">
        <f>IF(MONTH(DATE(CalYear,5,7))=5,CHOOSE(WEEKDAY(DATE(CalYear,5,7)),"S","M","T","W","T","F","S"),"")</f>
        <v>0</v>
      </c>
      <c r="J4" s="21">
        <f>IF(MONTH(DATE(CalYear,5,8))=5,CHOOSE(WEEKDAY(DATE(CalYear,5,8)),"S","M","T","W","T","F","S"),"")</f>
        <v>0</v>
      </c>
      <c r="K4" s="21">
        <f>IF(MONTH(DATE(CalYear,5,9))=5,CHOOSE(WEEKDAY(DATE(CalYear,5,9)),"S","M","T","W","T","F","S"),"")</f>
        <v>0</v>
      </c>
      <c r="L4" s="21">
        <f>IF(MONTH(DATE(CalYear,5,10))=5,CHOOSE(WEEKDAY(DATE(CalYear,5,10)),"S","M","T","W","T","F","S"),"")</f>
        <v>0</v>
      </c>
      <c r="M4" s="21">
        <f>IF(MONTH(DATE(CalYear,5,11))=5,CHOOSE(WEEKDAY(DATE(CalYear,5,11)),"S","M","T","W","T","F","S"),"")</f>
        <v>0</v>
      </c>
      <c r="N4" s="21">
        <f>IF(MONTH(DATE(CalYear,5,12))=5,CHOOSE(WEEKDAY(DATE(CalYear,5,12)),"S","M","T","W","T","F","S"),"")</f>
        <v>0</v>
      </c>
      <c r="O4" s="21">
        <f>IF(MONTH(DATE(CalYear,5,13))=5,CHOOSE(WEEKDAY(DATE(CalYear,5,13)),"S","M","T","W","T","F","S"),"")</f>
        <v>0</v>
      </c>
      <c r="P4" s="21">
        <f>IF(MONTH(DATE(CalYear,5,14))=5,CHOOSE(WEEKDAY(DATE(CalYear,5,14)),"S","M","T","W","T","F","S"),"")</f>
        <v>0</v>
      </c>
      <c r="Q4" s="21">
        <f>IF(MONTH(DATE(CalYear,5,15))=5,CHOOSE(WEEKDAY(DATE(CalYear,5,15)),"S","M","T","W","T","F","S"),"")</f>
        <v>0</v>
      </c>
      <c r="R4" s="21">
        <f>IF(MONTH(DATE(CalYear,5,16))=5,CHOOSE(WEEKDAY(DATE(CalYear,5,16)),"S","M","T","W","T","F","S"),"")</f>
        <v>0</v>
      </c>
      <c r="S4" s="21">
        <f>IF(MONTH(DATE(CalYear,5,17))=5,CHOOSE(WEEKDAY(DATE(CalYear,5,17)),"S","M","T","W","T","F","S"),"")</f>
        <v>0</v>
      </c>
      <c r="T4" s="21">
        <f>IF(MONTH(DATE(CalYear,5,18))=5,CHOOSE(WEEKDAY(DATE(CalYear,5,18)),"S","M","T","W","T","F","S"),"")</f>
        <v>0</v>
      </c>
      <c r="U4" s="21">
        <f>IF(MONTH(DATE(CalYear,5,19))=5,CHOOSE(WEEKDAY(DATE(CalYear,5,19)),"S","M","T","W","T","F","S"),"")</f>
        <v>0</v>
      </c>
      <c r="V4" s="21">
        <f>IF(MONTH(DATE(CalYear,5,20))=5,CHOOSE(WEEKDAY(DATE(CalYear,5,20)),"S","M","T","W","T","F","S"),"")</f>
        <v>0</v>
      </c>
      <c r="W4" s="21">
        <f>IF(MONTH(DATE(CalYear,5,21))=5,CHOOSE(WEEKDAY(DATE(CalYear,5,21)),"S","M","T","W","T","F","S"),"")</f>
        <v>0</v>
      </c>
      <c r="X4" s="21">
        <f>IF(MONTH(DATE(CalYear,5,22))=5,CHOOSE(WEEKDAY(DATE(CalYear,5,22)),"S","M","T","W","T","F","S"),"")</f>
        <v>0</v>
      </c>
      <c r="Y4" s="21">
        <f>IF(MONTH(DATE(CalYear,5,23))=5,CHOOSE(WEEKDAY(DATE(CalYear,5,23)),"S","M","T","W","T","F","S"),"")</f>
        <v>0</v>
      </c>
      <c r="Z4" s="21">
        <f>IF(MONTH(DATE(CalYear,5,24))=5,CHOOSE(WEEKDAY(DATE(CalYear,5,24)),"S","M","T","W","T","F","S"),"")</f>
        <v>0</v>
      </c>
      <c r="AA4" s="21">
        <f>IF(MONTH(DATE(CalYear,5,25))=5,CHOOSE(WEEKDAY(DATE(CalYear,5,25)),"S","M","T","W","T","F","S"),"")</f>
        <v>0</v>
      </c>
      <c r="AB4" s="21">
        <f>IF(MONTH(DATE(CalYear,5,26))=5,CHOOSE(WEEKDAY(DATE(CalYear,5,26)),"S","M","T","W","T","F","S"),"")</f>
        <v>0</v>
      </c>
      <c r="AC4" s="21">
        <f>IF(MONTH(DATE(CalYear,5,27))=5,CHOOSE(WEEKDAY(DATE(CalYear,5,27)),"S","M","T","W","T","F","S"),"")</f>
        <v>0</v>
      </c>
      <c r="AD4" s="21">
        <f>IF(MONTH(DATE(CalYear,5,28))=5,CHOOSE(WEEKDAY(DATE(CalYear,5,28)),"S","M","T","W","T","F","S"),"")</f>
        <v>0</v>
      </c>
      <c r="AE4" s="21">
        <f>IF(MONTH(DATE(CalYear,5,29))=5,CHOOSE(WEEKDAY(DATE(CalYear,5,29)),"S","M","T","W","T","F","S"),"")</f>
        <v>0</v>
      </c>
      <c r="AF4" s="21">
        <f>IF(MONTH(DATE(CalYear,5,30))=5,CHOOSE(WEEKDAY(DATE(CalYear,5,30)),"S","M","T","W","T","F","S"),"")</f>
        <v>0</v>
      </c>
      <c r="AG4" s="21">
        <f>IF(MONTH(DATE(CalYear,5,31))=5,CHOOSE(WEEKDAY(DATE(CalYear,5,31)),"S","M","T","W","T","F","S"),"")</f>
        <v>0</v>
      </c>
      <c r="AI4" s="22" t="s">
        <v>89</v>
      </c>
      <c r="AJ4" s="23" t="s">
        <v>90</v>
      </c>
      <c r="AK4" s="24" t="s">
        <v>91</v>
      </c>
      <c r="AL4" s="25" t="s">
        <v>92</v>
      </c>
      <c r="AM4" s="26" t="s">
        <v>93</v>
      </c>
    </row>
    <row r="5" spans="2:39" ht="18" customHeight="1">
      <c r="B5" s="27" t="s">
        <v>68</v>
      </c>
      <c r="C5" s="28">
        <f>IF(MONTH(DATE(CalYear,5,1))=5,1,"")</f>
        <v>0</v>
      </c>
      <c r="D5" s="28">
        <f>IF(MONTH(DATE(CalYear,5,2))=5,2,"")</f>
        <v>0</v>
      </c>
      <c r="E5" s="28">
        <f>IF(MONTH(DATE(CalYear,5,3))=5,3,"")</f>
        <v>0</v>
      </c>
      <c r="F5" s="28">
        <f>IF(MONTH(DATE(CalYear,5,4))=5,4,"")</f>
        <v>0</v>
      </c>
      <c r="G5" s="28">
        <f>IF(MONTH(DATE(CalYear,5,5))=5,5,"")</f>
        <v>0</v>
      </c>
      <c r="H5" s="28">
        <f>IF(MONTH(DATE(CalYear,5,6))=5,6,"")</f>
        <v>0</v>
      </c>
      <c r="I5" s="28">
        <f>IF(MONTH(DATE(CalYear,5,7))=5,7,"")</f>
        <v>0</v>
      </c>
      <c r="J5" s="28">
        <f>IF(MONTH(DATE(CalYear,5,8))=5,8,"")</f>
        <v>0</v>
      </c>
      <c r="K5" s="28">
        <f>IF(MONTH(DATE(CalYear,5,9))=5,9,"")</f>
        <v>0</v>
      </c>
      <c r="L5" s="28">
        <f>IF(MONTH(DATE(CalYear,5,10))=5,10,"")</f>
        <v>0</v>
      </c>
      <c r="M5" s="28">
        <f>IF(MONTH(DATE(CalYear,5,11))=5,11,"")</f>
        <v>0</v>
      </c>
      <c r="N5" s="28">
        <f>IF(MONTH(DATE(CalYear,5,12))=5,12,"")</f>
        <v>0</v>
      </c>
      <c r="O5" s="28">
        <f>IF(MONTH(DATE(CalYear,5,13))=5,13,"")</f>
        <v>0</v>
      </c>
      <c r="P5" s="28">
        <f>IF(MONTH(DATE(CalYear,5,14))=5,14,"")</f>
        <v>0</v>
      </c>
      <c r="Q5" s="28">
        <f>IF(MONTH(DATE(CalYear,5,15))=5,15,"")</f>
        <v>0</v>
      </c>
      <c r="R5" s="28">
        <f>IF(MONTH(DATE(CalYear,5,16))=5,16,"")</f>
        <v>0</v>
      </c>
      <c r="S5" s="28">
        <f>IF(MONTH(DATE(CalYear,5,17))=5,17,"")</f>
        <v>0</v>
      </c>
      <c r="T5" s="28">
        <f>IF(MONTH(DATE(CalYear,5,18))=5,18,"")</f>
        <v>0</v>
      </c>
      <c r="U5" s="28">
        <f>IF(MONTH(DATE(CalYear,5,19))=5,19,"")</f>
        <v>0</v>
      </c>
      <c r="V5" s="28">
        <f>IF(MONTH(DATE(CalYear,5,20))=5,20,"")</f>
        <v>0</v>
      </c>
      <c r="W5" s="28">
        <f>IF(MONTH(DATE(CalYear,5,21))=5,21,"")</f>
        <v>0</v>
      </c>
      <c r="X5" s="28">
        <f>IF(MONTH(DATE(CalYear,5,22))=5,22,"")</f>
        <v>0</v>
      </c>
      <c r="Y5" s="28">
        <f>IF(MONTH(DATE(CalYear,5,23))=5,23,"")</f>
        <v>0</v>
      </c>
      <c r="Z5" s="28">
        <f>IF(MONTH(DATE(CalYear,5,24))=5,24,"")</f>
        <v>0</v>
      </c>
      <c r="AA5" s="28">
        <f>IF(MONTH(DATE(CalYear,5,25))=5,25,"")</f>
        <v>0</v>
      </c>
      <c r="AB5" s="28">
        <f>IF(MONTH(DATE(CalYear,5,26))=5,26,"")</f>
        <v>0</v>
      </c>
      <c r="AC5" s="28">
        <f>IF(MONTH(DATE(CalYear,5,27))=5,27,"")</f>
        <v>0</v>
      </c>
      <c r="AD5" s="28">
        <f>IF(MONTH(DATE(CalYear,5,28))=5,28,"")</f>
        <v>0</v>
      </c>
      <c r="AE5" s="28">
        <f>IF(MONTH(DATE(CalYear,5,29))=5,29,"")</f>
        <v>0</v>
      </c>
      <c r="AF5" s="28">
        <f>IF(MONTH(DATE(CalYear,5,30))=5,30,"")</f>
        <v>0</v>
      </c>
      <c r="AG5" s="28">
        <f>IF(MONTH(DATE(CalYear,5,31))=5,31,"")</f>
        <v>0</v>
      </c>
      <c r="AI5" s="22"/>
      <c r="AJ5" s="23"/>
      <c r="AK5" s="24"/>
      <c r="AL5" s="25"/>
      <c r="AM5" s="26"/>
    </row>
    <row r="6" spans="2:39" ht="17" customHeight="1">
      <c r="B6" s="29">
        <f>IF(Summary!B6="","",Summary!B6)</f>
        <v>0</v>
      </c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  <c r="AE6" s="30"/>
      <c r="AF6" s="30"/>
      <c r="AG6" s="30"/>
      <c r="AI6" s="31">
        <f>SUMPRODUCT(COUNTIF(C6:AG6,Codes)*(Codes&lt;&gt;"")*(CodeBucket="Vacation")*CodeDays)</f>
        <v>0</v>
      </c>
      <c r="AJ6" s="32">
        <f>SUMPRODUCT(COUNTIF(C6:AG6,Codes)*(Codes&lt;&gt;"")*(CodeBucket="Sick")*CodeDays)</f>
        <v>0</v>
      </c>
      <c r="AK6" s="33">
        <f>SUMPRODUCT(COUNTIF(C6:AG6,Codes)*(Codes&lt;&gt;"")*(CodeBucket="Personal")*CodeDays)</f>
        <v>0</v>
      </c>
      <c r="AL6" s="34">
        <f>SUMPRODUCT(COUNTIF(C6:AG6,Codes)*(Codes&lt;&gt;"")*(CodeBucket="Other")*CodeDays)</f>
        <v>0</v>
      </c>
      <c r="AM6" s="35">
        <f>SUM(AI6:AL6)</f>
        <v>0</v>
      </c>
    </row>
    <row r="7" spans="2:39" ht="17" customHeight="1">
      <c r="B7" s="29">
        <f>IF(Summary!B7="","",Summary!B7)</f>
        <v>0</v>
      </c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  <c r="AB7" s="30"/>
      <c r="AC7" s="30"/>
      <c r="AD7" s="30"/>
      <c r="AE7" s="30"/>
      <c r="AF7" s="30"/>
      <c r="AG7" s="30"/>
      <c r="AI7" s="31">
        <f>SUMPRODUCT(COUNTIF(C7:AG7,Codes)*(Codes&lt;&gt;"")*(CodeBucket="Vacation")*CodeDays)</f>
        <v>0</v>
      </c>
      <c r="AJ7" s="32">
        <f>SUMPRODUCT(COUNTIF(C7:AG7,Codes)*(Codes&lt;&gt;"")*(CodeBucket="Sick")*CodeDays)</f>
        <v>0</v>
      </c>
      <c r="AK7" s="33">
        <f>SUMPRODUCT(COUNTIF(C7:AG7,Codes)*(Codes&lt;&gt;"")*(CodeBucket="Personal")*CodeDays)</f>
        <v>0</v>
      </c>
      <c r="AL7" s="34">
        <f>SUMPRODUCT(COUNTIF(C7:AG7,Codes)*(Codes&lt;&gt;"")*(CodeBucket="Other")*CodeDays)</f>
        <v>0</v>
      </c>
      <c r="AM7" s="35">
        <f>SUM(AI7:AL7)</f>
        <v>0</v>
      </c>
    </row>
    <row r="8" spans="2:39" ht="17" customHeight="1">
      <c r="B8" s="29">
        <f>IF(Summary!B8="","",Summary!B8)</f>
        <v>0</v>
      </c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30"/>
      <c r="AA8" s="30"/>
      <c r="AB8" s="30"/>
      <c r="AC8" s="30"/>
      <c r="AD8" s="30"/>
      <c r="AE8" s="30"/>
      <c r="AF8" s="30"/>
      <c r="AG8" s="30"/>
      <c r="AI8" s="31">
        <f>SUMPRODUCT(COUNTIF(C8:AG8,Codes)*(Codes&lt;&gt;"")*(CodeBucket="Vacation")*CodeDays)</f>
        <v>0</v>
      </c>
      <c r="AJ8" s="32">
        <f>SUMPRODUCT(COUNTIF(C8:AG8,Codes)*(Codes&lt;&gt;"")*(CodeBucket="Sick")*CodeDays)</f>
        <v>0</v>
      </c>
      <c r="AK8" s="33">
        <f>SUMPRODUCT(COUNTIF(C8:AG8,Codes)*(Codes&lt;&gt;"")*(CodeBucket="Personal")*CodeDays)</f>
        <v>0</v>
      </c>
      <c r="AL8" s="34">
        <f>SUMPRODUCT(COUNTIF(C8:AG8,Codes)*(Codes&lt;&gt;"")*(CodeBucket="Other")*CodeDays)</f>
        <v>0</v>
      </c>
      <c r="AM8" s="35">
        <f>SUM(AI8:AL8)</f>
        <v>0</v>
      </c>
    </row>
    <row r="9" spans="2:39" ht="17" customHeight="1">
      <c r="B9" s="29">
        <f>IF(Summary!B9="","",Summary!B9)</f>
        <v>0</v>
      </c>
      <c r="C9" s="30"/>
      <c r="D9" s="30"/>
      <c r="E9" s="30"/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  <c r="AB9" s="30"/>
      <c r="AC9" s="30"/>
      <c r="AD9" s="30"/>
      <c r="AE9" s="30"/>
      <c r="AF9" s="30"/>
      <c r="AG9" s="30"/>
      <c r="AI9" s="31">
        <f>SUMPRODUCT(COUNTIF(C9:AG9,Codes)*(Codes&lt;&gt;"")*(CodeBucket="Vacation")*CodeDays)</f>
        <v>0</v>
      </c>
      <c r="AJ9" s="32">
        <f>SUMPRODUCT(COUNTIF(C9:AG9,Codes)*(Codes&lt;&gt;"")*(CodeBucket="Sick")*CodeDays)</f>
        <v>0</v>
      </c>
      <c r="AK9" s="33">
        <f>SUMPRODUCT(COUNTIF(C9:AG9,Codes)*(Codes&lt;&gt;"")*(CodeBucket="Personal")*CodeDays)</f>
        <v>0</v>
      </c>
      <c r="AL9" s="34">
        <f>SUMPRODUCT(COUNTIF(C9:AG9,Codes)*(Codes&lt;&gt;"")*(CodeBucket="Other")*CodeDays)</f>
        <v>0</v>
      </c>
      <c r="AM9" s="35">
        <f>SUM(AI9:AL9)</f>
        <v>0</v>
      </c>
    </row>
    <row r="10" spans="2:39" ht="17" customHeight="1">
      <c r="B10" s="29">
        <f>IF(Summary!B10="","",Summary!B10)</f>
        <v>0</v>
      </c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  <c r="AA10" s="30"/>
      <c r="AB10" s="30"/>
      <c r="AC10" s="30"/>
      <c r="AD10" s="30"/>
      <c r="AE10" s="30"/>
      <c r="AF10" s="30"/>
      <c r="AG10" s="30"/>
      <c r="AI10" s="31">
        <f>SUMPRODUCT(COUNTIF(C10:AG10,Codes)*(Codes&lt;&gt;"")*(CodeBucket="Vacation")*CodeDays)</f>
        <v>0</v>
      </c>
      <c r="AJ10" s="32">
        <f>SUMPRODUCT(COUNTIF(C10:AG10,Codes)*(Codes&lt;&gt;"")*(CodeBucket="Sick")*CodeDays)</f>
        <v>0</v>
      </c>
      <c r="AK10" s="33">
        <f>SUMPRODUCT(COUNTIF(C10:AG10,Codes)*(Codes&lt;&gt;"")*(CodeBucket="Personal")*CodeDays)</f>
        <v>0</v>
      </c>
      <c r="AL10" s="34">
        <f>SUMPRODUCT(COUNTIF(C10:AG10,Codes)*(Codes&lt;&gt;"")*(CodeBucket="Other")*CodeDays)</f>
        <v>0</v>
      </c>
      <c r="AM10" s="35">
        <f>SUM(AI10:AL10)</f>
        <v>0</v>
      </c>
    </row>
    <row r="11" spans="2:39" ht="17" customHeight="1">
      <c r="B11" s="29">
        <f>IF(Summary!B11="","",Summary!B11)</f>
        <v>0</v>
      </c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  <c r="AA11" s="30"/>
      <c r="AB11" s="30"/>
      <c r="AC11" s="30"/>
      <c r="AD11" s="30"/>
      <c r="AE11" s="30"/>
      <c r="AF11" s="30"/>
      <c r="AG11" s="30"/>
      <c r="AI11" s="31">
        <f>SUMPRODUCT(COUNTIF(C11:AG11,Codes)*(Codes&lt;&gt;"")*(CodeBucket="Vacation")*CodeDays)</f>
        <v>0</v>
      </c>
      <c r="AJ11" s="32">
        <f>SUMPRODUCT(COUNTIF(C11:AG11,Codes)*(Codes&lt;&gt;"")*(CodeBucket="Sick")*CodeDays)</f>
        <v>0</v>
      </c>
      <c r="AK11" s="33">
        <f>SUMPRODUCT(COUNTIF(C11:AG11,Codes)*(Codes&lt;&gt;"")*(CodeBucket="Personal")*CodeDays)</f>
        <v>0</v>
      </c>
      <c r="AL11" s="34">
        <f>SUMPRODUCT(COUNTIF(C11:AG11,Codes)*(Codes&lt;&gt;"")*(CodeBucket="Other")*CodeDays)</f>
        <v>0</v>
      </c>
      <c r="AM11" s="35">
        <f>SUM(AI11:AL11)</f>
        <v>0</v>
      </c>
    </row>
    <row r="12" spans="2:39" ht="17" customHeight="1">
      <c r="B12" s="29">
        <f>IF(Summary!B12="","",Summary!B12)</f>
        <v>0</v>
      </c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0"/>
      <c r="S12" s="30"/>
      <c r="T12" s="30"/>
      <c r="U12" s="30"/>
      <c r="V12" s="30"/>
      <c r="W12" s="30"/>
      <c r="X12" s="30"/>
      <c r="Y12" s="30"/>
      <c r="Z12" s="30"/>
      <c r="AA12" s="30"/>
      <c r="AB12" s="30"/>
      <c r="AC12" s="30"/>
      <c r="AD12" s="30"/>
      <c r="AE12" s="30"/>
      <c r="AF12" s="30"/>
      <c r="AG12" s="30"/>
      <c r="AI12" s="31">
        <f>SUMPRODUCT(COUNTIF(C12:AG12,Codes)*(Codes&lt;&gt;"")*(CodeBucket="Vacation")*CodeDays)</f>
        <v>0</v>
      </c>
      <c r="AJ12" s="32">
        <f>SUMPRODUCT(COUNTIF(C12:AG12,Codes)*(Codes&lt;&gt;"")*(CodeBucket="Sick")*CodeDays)</f>
        <v>0</v>
      </c>
      <c r="AK12" s="33">
        <f>SUMPRODUCT(COUNTIF(C12:AG12,Codes)*(Codes&lt;&gt;"")*(CodeBucket="Personal")*CodeDays)</f>
        <v>0</v>
      </c>
      <c r="AL12" s="34">
        <f>SUMPRODUCT(COUNTIF(C12:AG12,Codes)*(Codes&lt;&gt;"")*(CodeBucket="Other")*CodeDays)</f>
        <v>0</v>
      </c>
      <c r="AM12" s="35">
        <f>SUM(AI12:AL12)</f>
        <v>0</v>
      </c>
    </row>
    <row r="13" spans="2:39" ht="17" customHeight="1">
      <c r="B13" s="29">
        <f>IF(Summary!B13="","",Summary!B13)</f>
        <v>0</v>
      </c>
      <c r="C13" s="30"/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30"/>
      <c r="T13" s="30"/>
      <c r="U13" s="30"/>
      <c r="V13" s="30"/>
      <c r="W13" s="30"/>
      <c r="X13" s="30"/>
      <c r="Y13" s="30"/>
      <c r="Z13" s="30"/>
      <c r="AA13" s="30"/>
      <c r="AB13" s="30"/>
      <c r="AC13" s="30"/>
      <c r="AD13" s="30"/>
      <c r="AE13" s="30"/>
      <c r="AF13" s="30"/>
      <c r="AG13" s="30"/>
      <c r="AI13" s="31">
        <f>SUMPRODUCT(COUNTIF(C13:AG13,Codes)*(Codes&lt;&gt;"")*(CodeBucket="Vacation")*CodeDays)</f>
        <v>0</v>
      </c>
      <c r="AJ13" s="32">
        <f>SUMPRODUCT(COUNTIF(C13:AG13,Codes)*(Codes&lt;&gt;"")*(CodeBucket="Sick")*CodeDays)</f>
        <v>0</v>
      </c>
      <c r="AK13" s="33">
        <f>SUMPRODUCT(COUNTIF(C13:AG13,Codes)*(Codes&lt;&gt;"")*(CodeBucket="Personal")*CodeDays)</f>
        <v>0</v>
      </c>
      <c r="AL13" s="34">
        <f>SUMPRODUCT(COUNTIF(C13:AG13,Codes)*(Codes&lt;&gt;"")*(CodeBucket="Other")*CodeDays)</f>
        <v>0</v>
      </c>
      <c r="AM13" s="35">
        <f>SUM(AI13:AL13)</f>
        <v>0</v>
      </c>
    </row>
    <row r="14" spans="2:39" ht="17" customHeight="1">
      <c r="B14" s="29">
        <f>IF(Summary!B14="","",Summary!B14)</f>
        <v>0</v>
      </c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30"/>
      <c r="U14" s="30"/>
      <c r="V14" s="30"/>
      <c r="W14" s="30"/>
      <c r="X14" s="30"/>
      <c r="Y14" s="30"/>
      <c r="Z14" s="30"/>
      <c r="AA14" s="30"/>
      <c r="AB14" s="30"/>
      <c r="AC14" s="30"/>
      <c r="AD14" s="30"/>
      <c r="AE14" s="30"/>
      <c r="AF14" s="30"/>
      <c r="AG14" s="30"/>
      <c r="AI14" s="31">
        <f>SUMPRODUCT(COUNTIF(C14:AG14,Codes)*(Codes&lt;&gt;"")*(CodeBucket="Vacation")*CodeDays)</f>
        <v>0</v>
      </c>
      <c r="AJ14" s="32">
        <f>SUMPRODUCT(COUNTIF(C14:AG14,Codes)*(Codes&lt;&gt;"")*(CodeBucket="Sick")*CodeDays)</f>
        <v>0</v>
      </c>
      <c r="AK14" s="33">
        <f>SUMPRODUCT(COUNTIF(C14:AG14,Codes)*(Codes&lt;&gt;"")*(CodeBucket="Personal")*CodeDays)</f>
        <v>0</v>
      </c>
      <c r="AL14" s="34">
        <f>SUMPRODUCT(COUNTIF(C14:AG14,Codes)*(Codes&lt;&gt;"")*(CodeBucket="Other")*CodeDays)</f>
        <v>0</v>
      </c>
      <c r="AM14" s="35">
        <f>SUM(AI14:AL14)</f>
        <v>0</v>
      </c>
    </row>
    <row r="15" spans="2:39" ht="17" customHeight="1">
      <c r="B15" s="29">
        <f>IF(Summary!B15="","",Summary!B15)</f>
        <v>0</v>
      </c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0"/>
      <c r="AA15" s="30"/>
      <c r="AB15" s="30"/>
      <c r="AC15" s="30"/>
      <c r="AD15" s="30"/>
      <c r="AE15" s="30"/>
      <c r="AF15" s="30"/>
      <c r="AG15" s="30"/>
      <c r="AI15" s="31">
        <f>SUMPRODUCT(COUNTIF(C15:AG15,Codes)*(Codes&lt;&gt;"")*(CodeBucket="Vacation")*CodeDays)</f>
        <v>0</v>
      </c>
      <c r="AJ15" s="32">
        <f>SUMPRODUCT(COUNTIF(C15:AG15,Codes)*(Codes&lt;&gt;"")*(CodeBucket="Sick")*CodeDays)</f>
        <v>0</v>
      </c>
      <c r="AK15" s="33">
        <f>SUMPRODUCT(COUNTIF(C15:AG15,Codes)*(Codes&lt;&gt;"")*(CodeBucket="Personal")*CodeDays)</f>
        <v>0</v>
      </c>
      <c r="AL15" s="34">
        <f>SUMPRODUCT(COUNTIF(C15:AG15,Codes)*(Codes&lt;&gt;"")*(CodeBucket="Other")*CodeDays)</f>
        <v>0</v>
      </c>
      <c r="AM15" s="35">
        <f>SUM(AI15:AL15)</f>
        <v>0</v>
      </c>
    </row>
    <row r="16" spans="2:39" ht="17" customHeight="1">
      <c r="B16" s="29">
        <f>IF(Summary!B16="","",Summary!B16)</f>
        <v>0</v>
      </c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0"/>
      <c r="R16" s="30"/>
      <c r="S16" s="30"/>
      <c r="T16" s="30"/>
      <c r="U16" s="30"/>
      <c r="V16" s="30"/>
      <c r="W16" s="30"/>
      <c r="X16" s="30"/>
      <c r="Y16" s="30"/>
      <c r="Z16" s="30"/>
      <c r="AA16" s="30"/>
      <c r="AB16" s="30"/>
      <c r="AC16" s="30"/>
      <c r="AD16" s="30"/>
      <c r="AE16" s="30"/>
      <c r="AF16" s="30"/>
      <c r="AG16" s="30"/>
      <c r="AI16" s="31">
        <f>SUMPRODUCT(COUNTIF(C16:AG16,Codes)*(Codes&lt;&gt;"")*(CodeBucket="Vacation")*CodeDays)</f>
        <v>0</v>
      </c>
      <c r="AJ16" s="32">
        <f>SUMPRODUCT(COUNTIF(C16:AG16,Codes)*(Codes&lt;&gt;"")*(CodeBucket="Sick")*CodeDays)</f>
        <v>0</v>
      </c>
      <c r="AK16" s="33">
        <f>SUMPRODUCT(COUNTIF(C16:AG16,Codes)*(Codes&lt;&gt;"")*(CodeBucket="Personal")*CodeDays)</f>
        <v>0</v>
      </c>
      <c r="AL16" s="34">
        <f>SUMPRODUCT(COUNTIF(C16:AG16,Codes)*(Codes&lt;&gt;"")*(CodeBucket="Other")*CodeDays)</f>
        <v>0</v>
      </c>
      <c r="AM16" s="35">
        <f>SUM(AI16:AL16)</f>
        <v>0</v>
      </c>
    </row>
    <row r="17" spans="2:39" ht="17" customHeight="1">
      <c r="B17" s="29">
        <f>IF(Summary!B17="","",Summary!B17)</f>
        <v>0</v>
      </c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  <c r="O17" s="30"/>
      <c r="P17" s="30"/>
      <c r="Q17" s="30"/>
      <c r="R17" s="30"/>
      <c r="S17" s="30"/>
      <c r="T17" s="30"/>
      <c r="U17" s="30"/>
      <c r="V17" s="30"/>
      <c r="W17" s="30"/>
      <c r="X17" s="30"/>
      <c r="Y17" s="30"/>
      <c r="Z17" s="30"/>
      <c r="AA17" s="30"/>
      <c r="AB17" s="30"/>
      <c r="AC17" s="30"/>
      <c r="AD17" s="30"/>
      <c r="AE17" s="30"/>
      <c r="AF17" s="30"/>
      <c r="AG17" s="30"/>
      <c r="AI17" s="31">
        <f>SUMPRODUCT(COUNTIF(C17:AG17,Codes)*(Codes&lt;&gt;"")*(CodeBucket="Vacation")*CodeDays)</f>
        <v>0</v>
      </c>
      <c r="AJ17" s="32">
        <f>SUMPRODUCT(COUNTIF(C17:AG17,Codes)*(Codes&lt;&gt;"")*(CodeBucket="Sick")*CodeDays)</f>
        <v>0</v>
      </c>
      <c r="AK17" s="33">
        <f>SUMPRODUCT(COUNTIF(C17:AG17,Codes)*(Codes&lt;&gt;"")*(CodeBucket="Personal")*CodeDays)</f>
        <v>0</v>
      </c>
      <c r="AL17" s="34">
        <f>SUMPRODUCT(COUNTIF(C17:AG17,Codes)*(Codes&lt;&gt;"")*(CodeBucket="Other")*CodeDays)</f>
        <v>0</v>
      </c>
      <c r="AM17" s="35">
        <f>SUM(AI17:AL17)</f>
        <v>0</v>
      </c>
    </row>
    <row r="18" spans="2:39" ht="17" customHeight="1">
      <c r="B18" s="29">
        <f>IF(Summary!B18="","",Summary!B18)</f>
        <v>0</v>
      </c>
      <c r="C18" s="30"/>
      <c r="D18" s="30"/>
      <c r="E18" s="30"/>
      <c r="F18" s="30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30"/>
      <c r="R18" s="30"/>
      <c r="S18" s="30"/>
      <c r="T18" s="30"/>
      <c r="U18" s="30"/>
      <c r="V18" s="30"/>
      <c r="W18" s="30"/>
      <c r="X18" s="30"/>
      <c r="Y18" s="30"/>
      <c r="Z18" s="30"/>
      <c r="AA18" s="30"/>
      <c r="AB18" s="30"/>
      <c r="AC18" s="30"/>
      <c r="AD18" s="30"/>
      <c r="AE18" s="30"/>
      <c r="AF18" s="30"/>
      <c r="AG18" s="30"/>
      <c r="AI18" s="31">
        <f>SUMPRODUCT(COUNTIF(C18:AG18,Codes)*(Codes&lt;&gt;"")*(CodeBucket="Vacation")*CodeDays)</f>
        <v>0</v>
      </c>
      <c r="AJ18" s="32">
        <f>SUMPRODUCT(COUNTIF(C18:AG18,Codes)*(Codes&lt;&gt;"")*(CodeBucket="Sick")*CodeDays)</f>
        <v>0</v>
      </c>
      <c r="AK18" s="33">
        <f>SUMPRODUCT(COUNTIF(C18:AG18,Codes)*(Codes&lt;&gt;"")*(CodeBucket="Personal")*CodeDays)</f>
        <v>0</v>
      </c>
      <c r="AL18" s="34">
        <f>SUMPRODUCT(COUNTIF(C18:AG18,Codes)*(Codes&lt;&gt;"")*(CodeBucket="Other")*CodeDays)</f>
        <v>0</v>
      </c>
      <c r="AM18" s="35">
        <f>SUM(AI18:AL18)</f>
        <v>0</v>
      </c>
    </row>
    <row r="19" spans="2:39" ht="17" customHeight="1">
      <c r="B19" s="29">
        <f>IF(Summary!B19="","",Summary!B19)</f>
        <v>0</v>
      </c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30"/>
      <c r="AE19" s="30"/>
      <c r="AF19" s="30"/>
      <c r="AG19" s="30"/>
      <c r="AI19" s="31">
        <f>SUMPRODUCT(COUNTIF(C19:AG19,Codes)*(Codes&lt;&gt;"")*(CodeBucket="Vacation")*CodeDays)</f>
        <v>0</v>
      </c>
      <c r="AJ19" s="32">
        <f>SUMPRODUCT(COUNTIF(C19:AG19,Codes)*(Codes&lt;&gt;"")*(CodeBucket="Sick")*CodeDays)</f>
        <v>0</v>
      </c>
      <c r="AK19" s="33">
        <f>SUMPRODUCT(COUNTIF(C19:AG19,Codes)*(Codes&lt;&gt;"")*(CodeBucket="Personal")*CodeDays)</f>
        <v>0</v>
      </c>
      <c r="AL19" s="34">
        <f>SUMPRODUCT(COUNTIF(C19:AG19,Codes)*(Codes&lt;&gt;"")*(CodeBucket="Other")*CodeDays)</f>
        <v>0</v>
      </c>
      <c r="AM19" s="35">
        <f>SUM(AI19:AL19)</f>
        <v>0</v>
      </c>
    </row>
    <row r="20" spans="2:39" ht="17" customHeight="1">
      <c r="B20" s="29">
        <f>IF(Summary!B20="","",Summary!B20)</f>
        <v>0</v>
      </c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0"/>
      <c r="V20" s="30"/>
      <c r="W20" s="30"/>
      <c r="X20" s="30"/>
      <c r="Y20" s="30"/>
      <c r="Z20" s="30"/>
      <c r="AA20" s="30"/>
      <c r="AB20" s="30"/>
      <c r="AC20" s="30"/>
      <c r="AD20" s="30"/>
      <c r="AE20" s="30"/>
      <c r="AF20" s="30"/>
      <c r="AG20" s="30"/>
      <c r="AI20" s="31">
        <f>SUMPRODUCT(COUNTIF(C20:AG20,Codes)*(Codes&lt;&gt;"")*(CodeBucket="Vacation")*CodeDays)</f>
        <v>0</v>
      </c>
      <c r="AJ20" s="32">
        <f>SUMPRODUCT(COUNTIF(C20:AG20,Codes)*(Codes&lt;&gt;"")*(CodeBucket="Sick")*CodeDays)</f>
        <v>0</v>
      </c>
      <c r="AK20" s="33">
        <f>SUMPRODUCT(COUNTIF(C20:AG20,Codes)*(Codes&lt;&gt;"")*(CodeBucket="Personal")*CodeDays)</f>
        <v>0</v>
      </c>
      <c r="AL20" s="34">
        <f>SUMPRODUCT(COUNTIF(C20:AG20,Codes)*(Codes&lt;&gt;"")*(CodeBucket="Other")*CodeDays)</f>
        <v>0</v>
      </c>
      <c r="AM20" s="35">
        <f>SUM(AI20:AL20)</f>
        <v>0</v>
      </c>
    </row>
    <row r="21" spans="2:39" ht="17" customHeight="1">
      <c r="B21" s="29">
        <f>IF(Summary!B21="","",Summary!B21)</f>
        <v>0</v>
      </c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0"/>
      <c r="P21" s="30"/>
      <c r="Q21" s="30"/>
      <c r="R21" s="30"/>
      <c r="S21" s="30"/>
      <c r="T21" s="30"/>
      <c r="U21" s="30"/>
      <c r="V21" s="30"/>
      <c r="W21" s="30"/>
      <c r="X21" s="30"/>
      <c r="Y21" s="30"/>
      <c r="Z21" s="30"/>
      <c r="AA21" s="30"/>
      <c r="AB21" s="30"/>
      <c r="AC21" s="30"/>
      <c r="AD21" s="30"/>
      <c r="AE21" s="30"/>
      <c r="AF21" s="30"/>
      <c r="AG21" s="30"/>
      <c r="AI21" s="31">
        <f>SUMPRODUCT(COUNTIF(C21:AG21,Codes)*(Codes&lt;&gt;"")*(CodeBucket="Vacation")*CodeDays)</f>
        <v>0</v>
      </c>
      <c r="AJ21" s="32">
        <f>SUMPRODUCT(COUNTIF(C21:AG21,Codes)*(Codes&lt;&gt;"")*(CodeBucket="Sick")*CodeDays)</f>
        <v>0</v>
      </c>
      <c r="AK21" s="33">
        <f>SUMPRODUCT(COUNTIF(C21:AG21,Codes)*(Codes&lt;&gt;"")*(CodeBucket="Personal")*CodeDays)</f>
        <v>0</v>
      </c>
      <c r="AL21" s="34">
        <f>SUMPRODUCT(COUNTIF(C21:AG21,Codes)*(Codes&lt;&gt;"")*(CodeBucket="Other")*CodeDays)</f>
        <v>0</v>
      </c>
      <c r="AM21" s="35">
        <f>SUM(AI21:AL21)</f>
        <v>0</v>
      </c>
    </row>
    <row r="22" spans="2:39" ht="17" customHeight="1">
      <c r="B22" s="29">
        <f>IF(Summary!B22="","",Summary!B22)</f>
        <v>0</v>
      </c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0"/>
      <c r="W22" s="30"/>
      <c r="X22" s="30"/>
      <c r="Y22" s="30"/>
      <c r="Z22" s="30"/>
      <c r="AA22" s="30"/>
      <c r="AB22" s="30"/>
      <c r="AC22" s="30"/>
      <c r="AD22" s="30"/>
      <c r="AE22" s="30"/>
      <c r="AF22" s="30"/>
      <c r="AG22" s="30"/>
      <c r="AI22" s="31">
        <f>SUMPRODUCT(COUNTIF(C22:AG22,Codes)*(Codes&lt;&gt;"")*(CodeBucket="Vacation")*CodeDays)</f>
        <v>0</v>
      </c>
      <c r="AJ22" s="32">
        <f>SUMPRODUCT(COUNTIF(C22:AG22,Codes)*(Codes&lt;&gt;"")*(CodeBucket="Sick")*CodeDays)</f>
        <v>0</v>
      </c>
      <c r="AK22" s="33">
        <f>SUMPRODUCT(COUNTIF(C22:AG22,Codes)*(Codes&lt;&gt;"")*(CodeBucket="Personal")*CodeDays)</f>
        <v>0</v>
      </c>
      <c r="AL22" s="34">
        <f>SUMPRODUCT(COUNTIF(C22:AG22,Codes)*(Codes&lt;&gt;"")*(CodeBucket="Other")*CodeDays)</f>
        <v>0</v>
      </c>
      <c r="AM22" s="35">
        <f>SUM(AI22:AL22)</f>
        <v>0</v>
      </c>
    </row>
    <row r="23" spans="2:39" ht="17" customHeight="1">
      <c r="B23" s="29">
        <f>IF(Summary!B23="","",Summary!B23)</f>
        <v>0</v>
      </c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30"/>
      <c r="S23" s="30"/>
      <c r="T23" s="30"/>
      <c r="U23" s="30"/>
      <c r="V23" s="30"/>
      <c r="W23" s="30"/>
      <c r="X23" s="30"/>
      <c r="Y23" s="30"/>
      <c r="Z23" s="30"/>
      <c r="AA23" s="30"/>
      <c r="AB23" s="30"/>
      <c r="AC23" s="30"/>
      <c r="AD23" s="30"/>
      <c r="AE23" s="30"/>
      <c r="AF23" s="30"/>
      <c r="AG23" s="30"/>
      <c r="AI23" s="31">
        <f>SUMPRODUCT(COUNTIF(C23:AG23,Codes)*(Codes&lt;&gt;"")*(CodeBucket="Vacation")*CodeDays)</f>
        <v>0</v>
      </c>
      <c r="AJ23" s="32">
        <f>SUMPRODUCT(COUNTIF(C23:AG23,Codes)*(Codes&lt;&gt;"")*(CodeBucket="Sick")*CodeDays)</f>
        <v>0</v>
      </c>
      <c r="AK23" s="33">
        <f>SUMPRODUCT(COUNTIF(C23:AG23,Codes)*(Codes&lt;&gt;"")*(CodeBucket="Personal")*CodeDays)</f>
        <v>0</v>
      </c>
      <c r="AL23" s="34">
        <f>SUMPRODUCT(COUNTIF(C23:AG23,Codes)*(Codes&lt;&gt;"")*(CodeBucket="Other")*CodeDays)</f>
        <v>0</v>
      </c>
      <c r="AM23" s="35">
        <f>SUM(AI23:AL23)</f>
        <v>0</v>
      </c>
    </row>
    <row r="24" spans="2:39" ht="17" customHeight="1">
      <c r="B24" s="29">
        <f>IF(Summary!B24="","",Summary!B24)</f>
        <v>0</v>
      </c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30"/>
      <c r="S24" s="30"/>
      <c r="T24" s="30"/>
      <c r="U24" s="30"/>
      <c r="V24" s="30"/>
      <c r="W24" s="30"/>
      <c r="X24" s="30"/>
      <c r="Y24" s="30"/>
      <c r="Z24" s="30"/>
      <c r="AA24" s="30"/>
      <c r="AB24" s="30"/>
      <c r="AC24" s="30"/>
      <c r="AD24" s="30"/>
      <c r="AE24" s="30"/>
      <c r="AF24" s="30"/>
      <c r="AG24" s="30"/>
      <c r="AI24" s="31">
        <f>SUMPRODUCT(COUNTIF(C24:AG24,Codes)*(Codes&lt;&gt;"")*(CodeBucket="Vacation")*CodeDays)</f>
        <v>0</v>
      </c>
      <c r="AJ24" s="32">
        <f>SUMPRODUCT(COUNTIF(C24:AG24,Codes)*(Codes&lt;&gt;"")*(CodeBucket="Sick")*CodeDays)</f>
        <v>0</v>
      </c>
      <c r="AK24" s="33">
        <f>SUMPRODUCT(COUNTIF(C24:AG24,Codes)*(Codes&lt;&gt;"")*(CodeBucket="Personal")*CodeDays)</f>
        <v>0</v>
      </c>
      <c r="AL24" s="34">
        <f>SUMPRODUCT(COUNTIF(C24:AG24,Codes)*(Codes&lt;&gt;"")*(CodeBucket="Other")*CodeDays)</f>
        <v>0</v>
      </c>
      <c r="AM24" s="35">
        <f>SUM(AI24:AL24)</f>
        <v>0</v>
      </c>
    </row>
    <row r="25" spans="2:39" ht="17" customHeight="1">
      <c r="B25" s="29">
        <f>IF(Summary!B25="","",Summary!B25)</f>
        <v>0</v>
      </c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I25" s="31">
        <f>SUMPRODUCT(COUNTIF(C25:AG25,Codes)*(Codes&lt;&gt;"")*(CodeBucket="Vacation")*CodeDays)</f>
        <v>0</v>
      </c>
      <c r="AJ25" s="32">
        <f>SUMPRODUCT(COUNTIF(C25:AG25,Codes)*(Codes&lt;&gt;"")*(CodeBucket="Sick")*CodeDays)</f>
        <v>0</v>
      </c>
      <c r="AK25" s="33">
        <f>SUMPRODUCT(COUNTIF(C25:AG25,Codes)*(Codes&lt;&gt;"")*(CodeBucket="Personal")*CodeDays)</f>
        <v>0</v>
      </c>
      <c r="AL25" s="34">
        <f>SUMPRODUCT(COUNTIF(C25:AG25,Codes)*(Codes&lt;&gt;"")*(CodeBucket="Other")*CodeDays)</f>
        <v>0</v>
      </c>
      <c r="AM25" s="35">
        <f>SUM(AI25:AL25)</f>
        <v>0</v>
      </c>
    </row>
    <row r="26" spans="2:39" ht="17" customHeight="1">
      <c r="B26" s="29">
        <f>IF(Summary!B26="","",Summary!B26)</f>
        <v>0</v>
      </c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I26" s="31">
        <f>SUMPRODUCT(COUNTIF(C26:AG26,Codes)*(Codes&lt;&gt;"")*(CodeBucket="Vacation")*CodeDays)</f>
        <v>0</v>
      </c>
      <c r="AJ26" s="32">
        <f>SUMPRODUCT(COUNTIF(C26:AG26,Codes)*(Codes&lt;&gt;"")*(CodeBucket="Sick")*CodeDays)</f>
        <v>0</v>
      </c>
      <c r="AK26" s="33">
        <f>SUMPRODUCT(COUNTIF(C26:AG26,Codes)*(Codes&lt;&gt;"")*(CodeBucket="Personal")*CodeDays)</f>
        <v>0</v>
      </c>
      <c r="AL26" s="34">
        <f>SUMPRODUCT(COUNTIF(C26:AG26,Codes)*(Codes&lt;&gt;"")*(CodeBucket="Other")*CodeDays)</f>
        <v>0</v>
      </c>
      <c r="AM26" s="35">
        <f>SUM(AI26:AL26)</f>
        <v>0</v>
      </c>
    </row>
    <row r="27" spans="2:39" ht="17" customHeight="1">
      <c r="B27" s="29">
        <f>IF(Summary!B27="","",Summary!B27)</f>
        <v>0</v>
      </c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  <c r="AD27" s="30"/>
      <c r="AE27" s="30"/>
      <c r="AF27" s="30"/>
      <c r="AG27" s="30"/>
      <c r="AI27" s="31">
        <f>SUMPRODUCT(COUNTIF(C27:AG27,Codes)*(Codes&lt;&gt;"")*(CodeBucket="Vacation")*CodeDays)</f>
        <v>0</v>
      </c>
      <c r="AJ27" s="32">
        <f>SUMPRODUCT(COUNTIF(C27:AG27,Codes)*(Codes&lt;&gt;"")*(CodeBucket="Sick")*CodeDays)</f>
        <v>0</v>
      </c>
      <c r="AK27" s="33">
        <f>SUMPRODUCT(COUNTIF(C27:AG27,Codes)*(Codes&lt;&gt;"")*(CodeBucket="Personal")*CodeDays)</f>
        <v>0</v>
      </c>
      <c r="AL27" s="34">
        <f>SUMPRODUCT(COUNTIF(C27:AG27,Codes)*(Codes&lt;&gt;"")*(CodeBucket="Other")*CodeDays)</f>
        <v>0</v>
      </c>
      <c r="AM27" s="35">
        <f>SUM(AI27:AL27)</f>
        <v>0</v>
      </c>
    </row>
    <row r="28" spans="2:39" ht="17" customHeight="1">
      <c r="B28" s="29">
        <f>IF(Summary!B28="","",Summary!B28)</f>
        <v>0</v>
      </c>
      <c r="C28" s="30"/>
      <c r="D28" s="30"/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0"/>
      <c r="P28" s="30"/>
      <c r="Q28" s="30"/>
      <c r="R28" s="30"/>
      <c r="S28" s="30"/>
      <c r="T28" s="30"/>
      <c r="U28" s="30"/>
      <c r="V28" s="30"/>
      <c r="W28" s="30"/>
      <c r="X28" s="30"/>
      <c r="Y28" s="30"/>
      <c r="Z28" s="30"/>
      <c r="AA28" s="30"/>
      <c r="AB28" s="30"/>
      <c r="AC28" s="30"/>
      <c r="AD28" s="30"/>
      <c r="AE28" s="30"/>
      <c r="AF28" s="30"/>
      <c r="AG28" s="30"/>
      <c r="AI28" s="31">
        <f>SUMPRODUCT(COUNTIF(C28:AG28,Codes)*(Codes&lt;&gt;"")*(CodeBucket="Vacation")*CodeDays)</f>
        <v>0</v>
      </c>
      <c r="AJ28" s="32">
        <f>SUMPRODUCT(COUNTIF(C28:AG28,Codes)*(Codes&lt;&gt;"")*(CodeBucket="Sick")*CodeDays)</f>
        <v>0</v>
      </c>
      <c r="AK28" s="33">
        <f>SUMPRODUCT(COUNTIF(C28:AG28,Codes)*(Codes&lt;&gt;"")*(CodeBucket="Personal")*CodeDays)</f>
        <v>0</v>
      </c>
      <c r="AL28" s="34">
        <f>SUMPRODUCT(COUNTIF(C28:AG28,Codes)*(Codes&lt;&gt;"")*(CodeBucket="Other")*CodeDays)</f>
        <v>0</v>
      </c>
      <c r="AM28" s="35">
        <f>SUM(AI28:AL28)</f>
        <v>0</v>
      </c>
    </row>
    <row r="29" spans="2:39" ht="17" customHeight="1">
      <c r="B29" s="29">
        <f>IF(Summary!B29="","",Summary!B29)</f>
        <v>0</v>
      </c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30"/>
      <c r="AD29" s="30"/>
      <c r="AE29" s="30"/>
      <c r="AF29" s="30"/>
      <c r="AG29" s="30"/>
      <c r="AI29" s="31">
        <f>SUMPRODUCT(COUNTIF(C29:AG29,Codes)*(Codes&lt;&gt;"")*(CodeBucket="Vacation")*CodeDays)</f>
        <v>0</v>
      </c>
      <c r="AJ29" s="32">
        <f>SUMPRODUCT(COUNTIF(C29:AG29,Codes)*(Codes&lt;&gt;"")*(CodeBucket="Sick")*CodeDays)</f>
        <v>0</v>
      </c>
      <c r="AK29" s="33">
        <f>SUMPRODUCT(COUNTIF(C29:AG29,Codes)*(Codes&lt;&gt;"")*(CodeBucket="Personal")*CodeDays)</f>
        <v>0</v>
      </c>
      <c r="AL29" s="34">
        <f>SUMPRODUCT(COUNTIF(C29:AG29,Codes)*(Codes&lt;&gt;"")*(CodeBucket="Other")*CodeDays)</f>
        <v>0</v>
      </c>
      <c r="AM29" s="35">
        <f>SUM(AI29:AL29)</f>
        <v>0</v>
      </c>
    </row>
    <row r="30" spans="2:39" ht="17" customHeight="1">
      <c r="B30" s="29">
        <f>IF(Summary!B30="","",Summary!B30)</f>
        <v>0</v>
      </c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  <c r="AF30" s="30"/>
      <c r="AG30" s="30"/>
      <c r="AI30" s="31">
        <f>SUMPRODUCT(COUNTIF(C30:AG30,Codes)*(Codes&lt;&gt;"")*(CodeBucket="Vacation")*CodeDays)</f>
        <v>0</v>
      </c>
      <c r="AJ30" s="32">
        <f>SUMPRODUCT(COUNTIF(C30:AG30,Codes)*(Codes&lt;&gt;"")*(CodeBucket="Sick")*CodeDays)</f>
        <v>0</v>
      </c>
      <c r="AK30" s="33">
        <f>SUMPRODUCT(COUNTIF(C30:AG30,Codes)*(Codes&lt;&gt;"")*(CodeBucket="Personal")*CodeDays)</f>
        <v>0</v>
      </c>
      <c r="AL30" s="34">
        <f>SUMPRODUCT(COUNTIF(C30:AG30,Codes)*(Codes&lt;&gt;"")*(CodeBucket="Other")*CodeDays)</f>
        <v>0</v>
      </c>
      <c r="AM30" s="35">
        <f>SUM(AI30:AL30)</f>
        <v>0</v>
      </c>
    </row>
    <row r="31" spans="2:39" ht="16" customHeight="1">
      <c r="B31" s="36" t="s">
        <v>94</v>
      </c>
      <c r="C31" s="37">
        <f>IF(COUNTA(C6:C30)=0,"",COUNTA(C6:C30))</f>
        <v>0</v>
      </c>
      <c r="D31" s="37">
        <f>IF(COUNTA(D6:D30)=0,"",COUNTA(D6:D30))</f>
        <v>0</v>
      </c>
      <c r="E31" s="37">
        <f>IF(COUNTA(E6:E30)=0,"",COUNTA(E6:E30))</f>
        <v>0</v>
      </c>
      <c r="F31" s="37">
        <f>IF(COUNTA(F6:F30)=0,"",COUNTA(F6:F30))</f>
        <v>0</v>
      </c>
      <c r="G31" s="37">
        <f>IF(COUNTA(G6:G30)=0,"",COUNTA(G6:G30))</f>
        <v>0</v>
      </c>
      <c r="H31" s="37">
        <f>IF(COUNTA(H6:H30)=0,"",COUNTA(H6:H30))</f>
        <v>0</v>
      </c>
      <c r="I31" s="37">
        <f>IF(COUNTA(I6:I30)=0,"",COUNTA(I6:I30))</f>
        <v>0</v>
      </c>
      <c r="J31" s="37">
        <f>IF(COUNTA(J6:J30)=0,"",COUNTA(J6:J30))</f>
        <v>0</v>
      </c>
      <c r="K31" s="37">
        <f>IF(COUNTA(K6:K30)=0,"",COUNTA(K6:K30))</f>
        <v>0</v>
      </c>
      <c r="L31" s="37">
        <f>IF(COUNTA(L6:L30)=0,"",COUNTA(L6:L30))</f>
        <v>0</v>
      </c>
      <c r="M31" s="37">
        <f>IF(COUNTA(M6:M30)=0,"",COUNTA(M6:M30))</f>
        <v>0</v>
      </c>
      <c r="N31" s="37">
        <f>IF(COUNTA(N6:N30)=0,"",COUNTA(N6:N30))</f>
        <v>0</v>
      </c>
      <c r="O31" s="37">
        <f>IF(COUNTA(O6:O30)=0,"",COUNTA(O6:O30))</f>
        <v>0</v>
      </c>
      <c r="P31" s="37">
        <f>IF(COUNTA(P6:P30)=0,"",COUNTA(P6:P30))</f>
        <v>0</v>
      </c>
      <c r="Q31" s="37">
        <f>IF(COUNTA(Q6:Q30)=0,"",COUNTA(Q6:Q30))</f>
        <v>0</v>
      </c>
      <c r="R31" s="37">
        <f>IF(COUNTA(R6:R30)=0,"",COUNTA(R6:R30))</f>
        <v>0</v>
      </c>
      <c r="S31" s="37">
        <f>IF(COUNTA(S6:S30)=0,"",COUNTA(S6:S30))</f>
        <v>0</v>
      </c>
      <c r="T31" s="37">
        <f>IF(COUNTA(T6:T30)=0,"",COUNTA(T6:T30))</f>
        <v>0</v>
      </c>
      <c r="U31" s="37">
        <f>IF(COUNTA(U6:U30)=0,"",COUNTA(U6:U30))</f>
        <v>0</v>
      </c>
      <c r="V31" s="37">
        <f>IF(COUNTA(V6:V30)=0,"",COUNTA(V6:V30))</f>
        <v>0</v>
      </c>
      <c r="W31" s="37">
        <f>IF(COUNTA(W6:W30)=0,"",COUNTA(W6:W30))</f>
        <v>0</v>
      </c>
      <c r="X31" s="37">
        <f>IF(COUNTA(X6:X30)=0,"",COUNTA(X6:X30))</f>
        <v>0</v>
      </c>
      <c r="Y31" s="37">
        <f>IF(COUNTA(Y6:Y30)=0,"",COUNTA(Y6:Y30))</f>
        <v>0</v>
      </c>
      <c r="Z31" s="37">
        <f>IF(COUNTA(Z6:Z30)=0,"",COUNTA(Z6:Z30))</f>
        <v>0</v>
      </c>
      <c r="AA31" s="37">
        <f>IF(COUNTA(AA6:AA30)=0,"",COUNTA(AA6:AA30))</f>
        <v>0</v>
      </c>
      <c r="AB31" s="37">
        <f>IF(COUNTA(AB6:AB30)=0,"",COUNTA(AB6:AB30))</f>
        <v>0</v>
      </c>
      <c r="AC31" s="37">
        <f>IF(COUNTA(AC6:AC30)=0,"",COUNTA(AC6:AC30))</f>
        <v>0</v>
      </c>
      <c r="AD31" s="37">
        <f>IF(COUNTA(AD6:AD30)=0,"",COUNTA(AD6:AD30))</f>
        <v>0</v>
      </c>
      <c r="AE31" s="37">
        <f>IF(COUNTA(AE6:AE30)=0,"",COUNTA(AE6:AE30))</f>
        <v>0</v>
      </c>
      <c r="AF31" s="37">
        <f>IF(COUNTA(AF6:AF30)=0,"",COUNTA(AF6:AF30))</f>
        <v>0</v>
      </c>
      <c r="AG31" s="37">
        <f>IF(COUNTA(AG6:AG30)=0,"",COUNTA(AG6:AG30))</f>
        <v>0</v>
      </c>
    </row>
    <row r="33" spans="2:39">
      <c r="B33" s="38" t="s">
        <v>95</v>
      </c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8"/>
      <c r="AG33" s="38"/>
      <c r="AH33" s="38"/>
      <c r="AI33" s="38"/>
      <c r="AJ33" s="38"/>
      <c r="AK33" s="38"/>
      <c r="AL33" s="38"/>
      <c r="AM33" s="38"/>
    </row>
  </sheetData>
  <mergeCells count="9">
    <mergeCell ref="B2:I2"/>
    <mergeCell ref="J2:N2"/>
    <mergeCell ref="P2:AM2"/>
    <mergeCell ref="AI4:AI5"/>
    <mergeCell ref="AJ4:AJ5"/>
    <mergeCell ref="AK4:AK5"/>
    <mergeCell ref="AL4:AL5"/>
    <mergeCell ref="AM4:AM5"/>
    <mergeCell ref="B33:AM33"/>
  </mergeCells>
  <conditionalFormatting sqref="C4:AG5">
    <cfRule type="expression" dxfId="7" priority="8">
      <formula>AND(MONTH(DATE(CalYear,5,COLUMN()-2))=5,COUNTIFS(INDIRECT("Holidays!$C$6:$C$60"),DATE(CalYear,5,COLUMN()-2),INDIRECT("Holidays!$D$6:$D$60"),"Holiday")&gt;0)</formula>
    </cfRule>
  </conditionalFormatting>
  <conditionalFormatting sqref="C6:AG30">
    <cfRule type="expression" dxfId="0" priority="1" stopIfTrue="1">
      <formula>MONTH(DATE(CalYear,5,COLUMN()-2))&lt;&gt;5</formula>
    </cfRule>
    <cfRule type="expression" dxfId="1" priority="2" stopIfTrue="1">
      <formula>AND(C6&lt;&gt;"",COUNTIFS(INDIRECT("Setup!$B$9:$B$22"),C6,INDIRECT("Setup!$E$9:$E$22"),"Vacation")&gt;0)</formula>
    </cfRule>
    <cfRule type="expression" dxfId="2" priority="3" stopIfTrue="1">
      <formula>AND(C6&lt;&gt;"",COUNTIFS(INDIRECT("Setup!$B$9:$B$22"),C6,INDIRECT("Setup!$E$9:$E$22"),"Sick")&gt;0)</formula>
    </cfRule>
    <cfRule type="expression" dxfId="3" priority="4" stopIfTrue="1">
      <formula>AND(C6&lt;&gt;"",COUNTIFS(INDIRECT("Setup!$B$9:$B$22"),C6,INDIRECT("Setup!$E$9:$E$22"),"Personal")&gt;0)</formula>
    </cfRule>
    <cfRule type="expression" dxfId="4" priority="5" stopIfTrue="1">
      <formula>AND(C6&lt;&gt;"",COUNTIFS(INDIRECT("Setup!$B$9:$B$22"),C6,INDIRECT("Setup!$E$9:$E$22"),"Other")&gt;0)</formula>
    </cfRule>
    <cfRule type="expression" dxfId="5" priority="6" stopIfTrue="1">
      <formula>COUNTIFS(INDIRECT("Holidays!$C$6:$C$60"),DATE(CalYear,5,COLUMN()-2),INDIRECT("Holidays!$D$6:$D$60"),"Holiday")&gt;0</formula>
    </cfRule>
    <cfRule type="expression" dxfId="6" priority="7" stopIfTrue="1">
      <formula>OR(WEEKDAY(DATE(CalYear,5,COLUMN()-2))=1,WEEKDAY(DATE(CalYear,5,COLUMN()-2))=7)</formula>
    </cfRule>
  </conditionalFormatting>
  <dataValidations count="1">
    <dataValidation type="list" errorStyle="warning" allowBlank="1" showInputMessage="1" showErrorMessage="1" error="Not a code from the Setup tab (it won't be counted)." sqref="C6:AG30">
      <formula1>Codes</formula1>
    </dataValidation>
  </dataValidations>
  <printOptions horizontalCentered="1"/>
  <pageMargins left="0.3" right="0.3" top="0.3" bottom="0.3" header="0.3" footer="0.3"/>
  <pageSetup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2:AM33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/>
    </sheetView>
  </sheetViews>
  <sheetFormatPr defaultRowHeight="15"/>
  <cols>
    <col min="1" max="1" width="1.7109375" customWidth="1"/>
    <col min="2" max="2" width="18.7109375" customWidth="1"/>
    <col min="3" max="33" width="3.85546875" customWidth="1"/>
    <col min="34" max="34" width="1.7109375" customWidth="1"/>
    <col min="35" max="38" width="5.7109375" customWidth="1"/>
    <col min="39" max="39" width="6.28515625" customWidth="1"/>
  </cols>
  <sheetData>
    <row r="2" spans="2:39" ht="34" customHeight="1">
      <c r="B2" s="1" t="s">
        <v>100</v>
      </c>
      <c r="C2" s="1"/>
      <c r="D2" s="1"/>
      <c r="E2" s="1"/>
      <c r="F2" s="1"/>
      <c r="G2" s="1"/>
      <c r="H2" s="1"/>
      <c r="I2" s="1"/>
      <c r="J2" s="18">
        <f>CalYear</f>
        <v>0</v>
      </c>
      <c r="K2" s="18"/>
      <c r="L2" s="18"/>
      <c r="M2" s="18"/>
      <c r="N2" s="18"/>
      <c r="P2" s="19">
        <f>"Codes: "&amp;Setup!B9&amp;" "&amp;Setup!C9&amp;" · "&amp;Setup!B10&amp;" "&amp;Setup!C10&amp;" · "&amp;Setup!B11&amp;" "&amp;Setup!C11&amp;" · "&amp;Setup!B13&amp;" "&amp;Setup!C13&amp;" · "&amp;Setup!B15&amp;" "&amp;Setup!C15&amp;"   (full list on Setup)"</f>
        <v>0</v>
      </c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</row>
    <row r="4" spans="2:39" ht="14" customHeight="1">
      <c r="B4" s="20"/>
      <c r="C4" s="21">
        <f>IF(MONTH(DATE(CalYear,6,1))=6,CHOOSE(WEEKDAY(DATE(CalYear,6,1)),"S","M","T","W","T","F","S"),"")</f>
        <v>0</v>
      </c>
      <c r="D4" s="21">
        <f>IF(MONTH(DATE(CalYear,6,2))=6,CHOOSE(WEEKDAY(DATE(CalYear,6,2)),"S","M","T","W","T","F","S"),"")</f>
        <v>0</v>
      </c>
      <c r="E4" s="21">
        <f>IF(MONTH(DATE(CalYear,6,3))=6,CHOOSE(WEEKDAY(DATE(CalYear,6,3)),"S","M","T","W","T","F","S"),"")</f>
        <v>0</v>
      </c>
      <c r="F4" s="21">
        <f>IF(MONTH(DATE(CalYear,6,4))=6,CHOOSE(WEEKDAY(DATE(CalYear,6,4)),"S","M","T","W","T","F","S"),"")</f>
        <v>0</v>
      </c>
      <c r="G4" s="21">
        <f>IF(MONTH(DATE(CalYear,6,5))=6,CHOOSE(WEEKDAY(DATE(CalYear,6,5)),"S","M","T","W","T","F","S"),"")</f>
        <v>0</v>
      </c>
      <c r="H4" s="21">
        <f>IF(MONTH(DATE(CalYear,6,6))=6,CHOOSE(WEEKDAY(DATE(CalYear,6,6)),"S","M","T","W","T","F","S"),"")</f>
        <v>0</v>
      </c>
      <c r="I4" s="21">
        <f>IF(MONTH(DATE(CalYear,6,7))=6,CHOOSE(WEEKDAY(DATE(CalYear,6,7)),"S","M","T","W","T","F","S"),"")</f>
        <v>0</v>
      </c>
      <c r="J4" s="21">
        <f>IF(MONTH(DATE(CalYear,6,8))=6,CHOOSE(WEEKDAY(DATE(CalYear,6,8)),"S","M","T","W","T","F","S"),"")</f>
        <v>0</v>
      </c>
      <c r="K4" s="21">
        <f>IF(MONTH(DATE(CalYear,6,9))=6,CHOOSE(WEEKDAY(DATE(CalYear,6,9)),"S","M","T","W","T","F","S"),"")</f>
        <v>0</v>
      </c>
      <c r="L4" s="21">
        <f>IF(MONTH(DATE(CalYear,6,10))=6,CHOOSE(WEEKDAY(DATE(CalYear,6,10)),"S","M","T","W","T","F","S"),"")</f>
        <v>0</v>
      </c>
      <c r="M4" s="21">
        <f>IF(MONTH(DATE(CalYear,6,11))=6,CHOOSE(WEEKDAY(DATE(CalYear,6,11)),"S","M","T","W","T","F","S"),"")</f>
        <v>0</v>
      </c>
      <c r="N4" s="21">
        <f>IF(MONTH(DATE(CalYear,6,12))=6,CHOOSE(WEEKDAY(DATE(CalYear,6,12)),"S","M","T","W","T","F","S"),"")</f>
        <v>0</v>
      </c>
      <c r="O4" s="21">
        <f>IF(MONTH(DATE(CalYear,6,13))=6,CHOOSE(WEEKDAY(DATE(CalYear,6,13)),"S","M","T","W","T","F","S"),"")</f>
        <v>0</v>
      </c>
      <c r="P4" s="21">
        <f>IF(MONTH(DATE(CalYear,6,14))=6,CHOOSE(WEEKDAY(DATE(CalYear,6,14)),"S","M","T","W","T","F","S"),"")</f>
        <v>0</v>
      </c>
      <c r="Q4" s="21">
        <f>IF(MONTH(DATE(CalYear,6,15))=6,CHOOSE(WEEKDAY(DATE(CalYear,6,15)),"S","M","T","W","T","F","S"),"")</f>
        <v>0</v>
      </c>
      <c r="R4" s="21">
        <f>IF(MONTH(DATE(CalYear,6,16))=6,CHOOSE(WEEKDAY(DATE(CalYear,6,16)),"S","M","T","W","T","F","S"),"")</f>
        <v>0</v>
      </c>
      <c r="S4" s="21">
        <f>IF(MONTH(DATE(CalYear,6,17))=6,CHOOSE(WEEKDAY(DATE(CalYear,6,17)),"S","M","T","W","T","F","S"),"")</f>
        <v>0</v>
      </c>
      <c r="T4" s="21">
        <f>IF(MONTH(DATE(CalYear,6,18))=6,CHOOSE(WEEKDAY(DATE(CalYear,6,18)),"S","M","T","W","T","F","S"),"")</f>
        <v>0</v>
      </c>
      <c r="U4" s="21">
        <f>IF(MONTH(DATE(CalYear,6,19))=6,CHOOSE(WEEKDAY(DATE(CalYear,6,19)),"S","M","T","W","T","F","S"),"")</f>
        <v>0</v>
      </c>
      <c r="V4" s="21">
        <f>IF(MONTH(DATE(CalYear,6,20))=6,CHOOSE(WEEKDAY(DATE(CalYear,6,20)),"S","M","T","W","T","F","S"),"")</f>
        <v>0</v>
      </c>
      <c r="W4" s="21">
        <f>IF(MONTH(DATE(CalYear,6,21))=6,CHOOSE(WEEKDAY(DATE(CalYear,6,21)),"S","M","T","W","T","F","S"),"")</f>
        <v>0</v>
      </c>
      <c r="X4" s="21">
        <f>IF(MONTH(DATE(CalYear,6,22))=6,CHOOSE(WEEKDAY(DATE(CalYear,6,22)),"S","M","T","W","T","F","S"),"")</f>
        <v>0</v>
      </c>
      <c r="Y4" s="21">
        <f>IF(MONTH(DATE(CalYear,6,23))=6,CHOOSE(WEEKDAY(DATE(CalYear,6,23)),"S","M","T","W","T","F","S"),"")</f>
        <v>0</v>
      </c>
      <c r="Z4" s="21">
        <f>IF(MONTH(DATE(CalYear,6,24))=6,CHOOSE(WEEKDAY(DATE(CalYear,6,24)),"S","M","T","W","T","F","S"),"")</f>
        <v>0</v>
      </c>
      <c r="AA4" s="21">
        <f>IF(MONTH(DATE(CalYear,6,25))=6,CHOOSE(WEEKDAY(DATE(CalYear,6,25)),"S","M","T","W","T","F","S"),"")</f>
        <v>0</v>
      </c>
      <c r="AB4" s="21">
        <f>IF(MONTH(DATE(CalYear,6,26))=6,CHOOSE(WEEKDAY(DATE(CalYear,6,26)),"S","M","T","W","T","F","S"),"")</f>
        <v>0</v>
      </c>
      <c r="AC4" s="21">
        <f>IF(MONTH(DATE(CalYear,6,27))=6,CHOOSE(WEEKDAY(DATE(CalYear,6,27)),"S","M","T","W","T","F","S"),"")</f>
        <v>0</v>
      </c>
      <c r="AD4" s="21">
        <f>IF(MONTH(DATE(CalYear,6,28))=6,CHOOSE(WEEKDAY(DATE(CalYear,6,28)),"S","M","T","W","T","F","S"),"")</f>
        <v>0</v>
      </c>
      <c r="AE4" s="21">
        <f>IF(MONTH(DATE(CalYear,6,29))=6,CHOOSE(WEEKDAY(DATE(CalYear,6,29)),"S","M","T","W","T","F","S"),"")</f>
        <v>0</v>
      </c>
      <c r="AF4" s="21">
        <f>IF(MONTH(DATE(CalYear,6,30))=6,CHOOSE(WEEKDAY(DATE(CalYear,6,30)),"S","M","T","W","T","F","S"),"")</f>
        <v>0</v>
      </c>
      <c r="AG4" s="21">
        <f>IF(MONTH(DATE(CalYear,6,31))=6,CHOOSE(WEEKDAY(DATE(CalYear,6,31)),"S","M","T","W","T","F","S"),"")</f>
        <v>0</v>
      </c>
      <c r="AI4" s="22" t="s">
        <v>89</v>
      </c>
      <c r="AJ4" s="23" t="s">
        <v>90</v>
      </c>
      <c r="AK4" s="24" t="s">
        <v>91</v>
      </c>
      <c r="AL4" s="25" t="s">
        <v>92</v>
      </c>
      <c r="AM4" s="26" t="s">
        <v>93</v>
      </c>
    </row>
    <row r="5" spans="2:39" ht="18" customHeight="1">
      <c r="B5" s="27" t="s">
        <v>68</v>
      </c>
      <c r="C5" s="28">
        <f>IF(MONTH(DATE(CalYear,6,1))=6,1,"")</f>
        <v>0</v>
      </c>
      <c r="D5" s="28">
        <f>IF(MONTH(DATE(CalYear,6,2))=6,2,"")</f>
        <v>0</v>
      </c>
      <c r="E5" s="28">
        <f>IF(MONTH(DATE(CalYear,6,3))=6,3,"")</f>
        <v>0</v>
      </c>
      <c r="F5" s="28">
        <f>IF(MONTH(DATE(CalYear,6,4))=6,4,"")</f>
        <v>0</v>
      </c>
      <c r="G5" s="28">
        <f>IF(MONTH(DATE(CalYear,6,5))=6,5,"")</f>
        <v>0</v>
      </c>
      <c r="H5" s="28">
        <f>IF(MONTH(DATE(CalYear,6,6))=6,6,"")</f>
        <v>0</v>
      </c>
      <c r="I5" s="28">
        <f>IF(MONTH(DATE(CalYear,6,7))=6,7,"")</f>
        <v>0</v>
      </c>
      <c r="J5" s="28">
        <f>IF(MONTH(DATE(CalYear,6,8))=6,8,"")</f>
        <v>0</v>
      </c>
      <c r="K5" s="28">
        <f>IF(MONTH(DATE(CalYear,6,9))=6,9,"")</f>
        <v>0</v>
      </c>
      <c r="L5" s="28">
        <f>IF(MONTH(DATE(CalYear,6,10))=6,10,"")</f>
        <v>0</v>
      </c>
      <c r="M5" s="28">
        <f>IF(MONTH(DATE(CalYear,6,11))=6,11,"")</f>
        <v>0</v>
      </c>
      <c r="N5" s="28">
        <f>IF(MONTH(DATE(CalYear,6,12))=6,12,"")</f>
        <v>0</v>
      </c>
      <c r="O5" s="28">
        <f>IF(MONTH(DATE(CalYear,6,13))=6,13,"")</f>
        <v>0</v>
      </c>
      <c r="P5" s="28">
        <f>IF(MONTH(DATE(CalYear,6,14))=6,14,"")</f>
        <v>0</v>
      </c>
      <c r="Q5" s="28">
        <f>IF(MONTH(DATE(CalYear,6,15))=6,15,"")</f>
        <v>0</v>
      </c>
      <c r="R5" s="28">
        <f>IF(MONTH(DATE(CalYear,6,16))=6,16,"")</f>
        <v>0</v>
      </c>
      <c r="S5" s="28">
        <f>IF(MONTH(DATE(CalYear,6,17))=6,17,"")</f>
        <v>0</v>
      </c>
      <c r="T5" s="28">
        <f>IF(MONTH(DATE(CalYear,6,18))=6,18,"")</f>
        <v>0</v>
      </c>
      <c r="U5" s="28">
        <f>IF(MONTH(DATE(CalYear,6,19))=6,19,"")</f>
        <v>0</v>
      </c>
      <c r="V5" s="28">
        <f>IF(MONTH(DATE(CalYear,6,20))=6,20,"")</f>
        <v>0</v>
      </c>
      <c r="W5" s="28">
        <f>IF(MONTH(DATE(CalYear,6,21))=6,21,"")</f>
        <v>0</v>
      </c>
      <c r="X5" s="28">
        <f>IF(MONTH(DATE(CalYear,6,22))=6,22,"")</f>
        <v>0</v>
      </c>
      <c r="Y5" s="28">
        <f>IF(MONTH(DATE(CalYear,6,23))=6,23,"")</f>
        <v>0</v>
      </c>
      <c r="Z5" s="28">
        <f>IF(MONTH(DATE(CalYear,6,24))=6,24,"")</f>
        <v>0</v>
      </c>
      <c r="AA5" s="28">
        <f>IF(MONTH(DATE(CalYear,6,25))=6,25,"")</f>
        <v>0</v>
      </c>
      <c r="AB5" s="28">
        <f>IF(MONTH(DATE(CalYear,6,26))=6,26,"")</f>
        <v>0</v>
      </c>
      <c r="AC5" s="28">
        <f>IF(MONTH(DATE(CalYear,6,27))=6,27,"")</f>
        <v>0</v>
      </c>
      <c r="AD5" s="28">
        <f>IF(MONTH(DATE(CalYear,6,28))=6,28,"")</f>
        <v>0</v>
      </c>
      <c r="AE5" s="28">
        <f>IF(MONTH(DATE(CalYear,6,29))=6,29,"")</f>
        <v>0</v>
      </c>
      <c r="AF5" s="28">
        <f>IF(MONTH(DATE(CalYear,6,30))=6,30,"")</f>
        <v>0</v>
      </c>
      <c r="AG5" s="28">
        <f>IF(MONTH(DATE(CalYear,6,31))=6,31,"")</f>
        <v>0</v>
      </c>
      <c r="AI5" s="22"/>
      <c r="AJ5" s="23"/>
      <c r="AK5" s="24"/>
      <c r="AL5" s="25"/>
      <c r="AM5" s="26"/>
    </row>
    <row r="6" spans="2:39" ht="17" customHeight="1">
      <c r="B6" s="29">
        <f>IF(Summary!B6="","",Summary!B6)</f>
        <v>0</v>
      </c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  <c r="AE6" s="30"/>
      <c r="AF6" s="30"/>
      <c r="AG6" s="30"/>
      <c r="AI6" s="31">
        <f>SUMPRODUCT(COUNTIF(C6:AG6,Codes)*(Codes&lt;&gt;"")*(CodeBucket="Vacation")*CodeDays)</f>
        <v>0</v>
      </c>
      <c r="AJ6" s="32">
        <f>SUMPRODUCT(COUNTIF(C6:AG6,Codes)*(Codes&lt;&gt;"")*(CodeBucket="Sick")*CodeDays)</f>
        <v>0</v>
      </c>
      <c r="AK6" s="33">
        <f>SUMPRODUCT(COUNTIF(C6:AG6,Codes)*(Codes&lt;&gt;"")*(CodeBucket="Personal")*CodeDays)</f>
        <v>0</v>
      </c>
      <c r="AL6" s="34">
        <f>SUMPRODUCT(COUNTIF(C6:AG6,Codes)*(Codes&lt;&gt;"")*(CodeBucket="Other")*CodeDays)</f>
        <v>0</v>
      </c>
      <c r="AM6" s="35">
        <f>SUM(AI6:AL6)</f>
        <v>0</v>
      </c>
    </row>
    <row r="7" spans="2:39" ht="17" customHeight="1">
      <c r="B7" s="29">
        <f>IF(Summary!B7="","",Summary!B7)</f>
        <v>0</v>
      </c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  <c r="AB7" s="30"/>
      <c r="AC7" s="30"/>
      <c r="AD7" s="30"/>
      <c r="AE7" s="30"/>
      <c r="AF7" s="30"/>
      <c r="AG7" s="30"/>
      <c r="AI7" s="31">
        <f>SUMPRODUCT(COUNTIF(C7:AG7,Codes)*(Codes&lt;&gt;"")*(CodeBucket="Vacation")*CodeDays)</f>
        <v>0</v>
      </c>
      <c r="AJ7" s="32">
        <f>SUMPRODUCT(COUNTIF(C7:AG7,Codes)*(Codes&lt;&gt;"")*(CodeBucket="Sick")*CodeDays)</f>
        <v>0</v>
      </c>
      <c r="AK7" s="33">
        <f>SUMPRODUCT(COUNTIF(C7:AG7,Codes)*(Codes&lt;&gt;"")*(CodeBucket="Personal")*CodeDays)</f>
        <v>0</v>
      </c>
      <c r="AL7" s="34">
        <f>SUMPRODUCT(COUNTIF(C7:AG7,Codes)*(Codes&lt;&gt;"")*(CodeBucket="Other")*CodeDays)</f>
        <v>0</v>
      </c>
      <c r="AM7" s="35">
        <f>SUM(AI7:AL7)</f>
        <v>0</v>
      </c>
    </row>
    <row r="8" spans="2:39" ht="17" customHeight="1">
      <c r="B8" s="29">
        <f>IF(Summary!B8="","",Summary!B8)</f>
        <v>0</v>
      </c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30"/>
      <c r="AA8" s="30"/>
      <c r="AB8" s="30"/>
      <c r="AC8" s="30"/>
      <c r="AD8" s="30"/>
      <c r="AE8" s="30"/>
      <c r="AF8" s="30"/>
      <c r="AG8" s="30"/>
      <c r="AI8" s="31">
        <f>SUMPRODUCT(COUNTIF(C8:AG8,Codes)*(Codes&lt;&gt;"")*(CodeBucket="Vacation")*CodeDays)</f>
        <v>0</v>
      </c>
      <c r="AJ8" s="32">
        <f>SUMPRODUCT(COUNTIF(C8:AG8,Codes)*(Codes&lt;&gt;"")*(CodeBucket="Sick")*CodeDays)</f>
        <v>0</v>
      </c>
      <c r="AK8" s="33">
        <f>SUMPRODUCT(COUNTIF(C8:AG8,Codes)*(Codes&lt;&gt;"")*(CodeBucket="Personal")*CodeDays)</f>
        <v>0</v>
      </c>
      <c r="AL8" s="34">
        <f>SUMPRODUCT(COUNTIF(C8:AG8,Codes)*(Codes&lt;&gt;"")*(CodeBucket="Other")*CodeDays)</f>
        <v>0</v>
      </c>
      <c r="AM8" s="35">
        <f>SUM(AI8:AL8)</f>
        <v>0</v>
      </c>
    </row>
    <row r="9" spans="2:39" ht="17" customHeight="1">
      <c r="B9" s="29">
        <f>IF(Summary!B9="","",Summary!B9)</f>
        <v>0</v>
      </c>
      <c r="C9" s="30"/>
      <c r="D9" s="30"/>
      <c r="E9" s="30"/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  <c r="AB9" s="30"/>
      <c r="AC9" s="30"/>
      <c r="AD9" s="30"/>
      <c r="AE9" s="30"/>
      <c r="AF9" s="30"/>
      <c r="AG9" s="30"/>
      <c r="AI9" s="31">
        <f>SUMPRODUCT(COUNTIF(C9:AG9,Codes)*(Codes&lt;&gt;"")*(CodeBucket="Vacation")*CodeDays)</f>
        <v>0</v>
      </c>
      <c r="AJ9" s="32">
        <f>SUMPRODUCT(COUNTIF(C9:AG9,Codes)*(Codes&lt;&gt;"")*(CodeBucket="Sick")*CodeDays)</f>
        <v>0</v>
      </c>
      <c r="AK9" s="33">
        <f>SUMPRODUCT(COUNTIF(C9:AG9,Codes)*(Codes&lt;&gt;"")*(CodeBucket="Personal")*CodeDays)</f>
        <v>0</v>
      </c>
      <c r="AL9" s="34">
        <f>SUMPRODUCT(COUNTIF(C9:AG9,Codes)*(Codes&lt;&gt;"")*(CodeBucket="Other")*CodeDays)</f>
        <v>0</v>
      </c>
      <c r="AM9" s="35">
        <f>SUM(AI9:AL9)</f>
        <v>0</v>
      </c>
    </row>
    <row r="10" spans="2:39" ht="17" customHeight="1">
      <c r="B10" s="29">
        <f>IF(Summary!B10="","",Summary!B10)</f>
        <v>0</v>
      </c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  <c r="AA10" s="30"/>
      <c r="AB10" s="30"/>
      <c r="AC10" s="30"/>
      <c r="AD10" s="30"/>
      <c r="AE10" s="30"/>
      <c r="AF10" s="30"/>
      <c r="AG10" s="30"/>
      <c r="AI10" s="31">
        <f>SUMPRODUCT(COUNTIF(C10:AG10,Codes)*(Codes&lt;&gt;"")*(CodeBucket="Vacation")*CodeDays)</f>
        <v>0</v>
      </c>
      <c r="AJ10" s="32">
        <f>SUMPRODUCT(COUNTIF(C10:AG10,Codes)*(Codes&lt;&gt;"")*(CodeBucket="Sick")*CodeDays)</f>
        <v>0</v>
      </c>
      <c r="AK10" s="33">
        <f>SUMPRODUCT(COUNTIF(C10:AG10,Codes)*(Codes&lt;&gt;"")*(CodeBucket="Personal")*CodeDays)</f>
        <v>0</v>
      </c>
      <c r="AL10" s="34">
        <f>SUMPRODUCT(COUNTIF(C10:AG10,Codes)*(Codes&lt;&gt;"")*(CodeBucket="Other")*CodeDays)</f>
        <v>0</v>
      </c>
      <c r="AM10" s="35">
        <f>SUM(AI10:AL10)</f>
        <v>0</v>
      </c>
    </row>
    <row r="11" spans="2:39" ht="17" customHeight="1">
      <c r="B11" s="29">
        <f>IF(Summary!B11="","",Summary!B11)</f>
        <v>0</v>
      </c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  <c r="AA11" s="30"/>
      <c r="AB11" s="30"/>
      <c r="AC11" s="30"/>
      <c r="AD11" s="30"/>
      <c r="AE11" s="30"/>
      <c r="AF11" s="30"/>
      <c r="AG11" s="30"/>
      <c r="AI11" s="31">
        <f>SUMPRODUCT(COUNTIF(C11:AG11,Codes)*(Codes&lt;&gt;"")*(CodeBucket="Vacation")*CodeDays)</f>
        <v>0</v>
      </c>
      <c r="AJ11" s="32">
        <f>SUMPRODUCT(COUNTIF(C11:AG11,Codes)*(Codes&lt;&gt;"")*(CodeBucket="Sick")*CodeDays)</f>
        <v>0</v>
      </c>
      <c r="AK11" s="33">
        <f>SUMPRODUCT(COUNTIF(C11:AG11,Codes)*(Codes&lt;&gt;"")*(CodeBucket="Personal")*CodeDays)</f>
        <v>0</v>
      </c>
      <c r="AL11" s="34">
        <f>SUMPRODUCT(COUNTIF(C11:AG11,Codes)*(Codes&lt;&gt;"")*(CodeBucket="Other")*CodeDays)</f>
        <v>0</v>
      </c>
      <c r="AM11" s="35">
        <f>SUM(AI11:AL11)</f>
        <v>0</v>
      </c>
    </row>
    <row r="12" spans="2:39" ht="17" customHeight="1">
      <c r="B12" s="29">
        <f>IF(Summary!B12="","",Summary!B12)</f>
        <v>0</v>
      </c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0"/>
      <c r="S12" s="30"/>
      <c r="T12" s="30"/>
      <c r="U12" s="30"/>
      <c r="V12" s="30"/>
      <c r="W12" s="30"/>
      <c r="X12" s="30"/>
      <c r="Y12" s="30"/>
      <c r="Z12" s="30"/>
      <c r="AA12" s="30"/>
      <c r="AB12" s="30"/>
      <c r="AC12" s="30"/>
      <c r="AD12" s="30"/>
      <c r="AE12" s="30"/>
      <c r="AF12" s="30"/>
      <c r="AG12" s="30"/>
      <c r="AI12" s="31">
        <f>SUMPRODUCT(COUNTIF(C12:AG12,Codes)*(Codes&lt;&gt;"")*(CodeBucket="Vacation")*CodeDays)</f>
        <v>0</v>
      </c>
      <c r="AJ12" s="32">
        <f>SUMPRODUCT(COUNTIF(C12:AG12,Codes)*(Codes&lt;&gt;"")*(CodeBucket="Sick")*CodeDays)</f>
        <v>0</v>
      </c>
      <c r="AK12" s="33">
        <f>SUMPRODUCT(COUNTIF(C12:AG12,Codes)*(Codes&lt;&gt;"")*(CodeBucket="Personal")*CodeDays)</f>
        <v>0</v>
      </c>
      <c r="AL12" s="34">
        <f>SUMPRODUCT(COUNTIF(C12:AG12,Codes)*(Codes&lt;&gt;"")*(CodeBucket="Other")*CodeDays)</f>
        <v>0</v>
      </c>
      <c r="AM12" s="35">
        <f>SUM(AI12:AL12)</f>
        <v>0</v>
      </c>
    </row>
    <row r="13" spans="2:39" ht="17" customHeight="1">
      <c r="B13" s="29">
        <f>IF(Summary!B13="","",Summary!B13)</f>
        <v>0</v>
      </c>
      <c r="C13" s="30"/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30"/>
      <c r="T13" s="30"/>
      <c r="U13" s="30"/>
      <c r="V13" s="30"/>
      <c r="W13" s="30"/>
      <c r="X13" s="30"/>
      <c r="Y13" s="30"/>
      <c r="Z13" s="30"/>
      <c r="AA13" s="30"/>
      <c r="AB13" s="30"/>
      <c r="AC13" s="30"/>
      <c r="AD13" s="30"/>
      <c r="AE13" s="30"/>
      <c r="AF13" s="30"/>
      <c r="AG13" s="30"/>
      <c r="AI13" s="31">
        <f>SUMPRODUCT(COUNTIF(C13:AG13,Codes)*(Codes&lt;&gt;"")*(CodeBucket="Vacation")*CodeDays)</f>
        <v>0</v>
      </c>
      <c r="AJ13" s="32">
        <f>SUMPRODUCT(COUNTIF(C13:AG13,Codes)*(Codes&lt;&gt;"")*(CodeBucket="Sick")*CodeDays)</f>
        <v>0</v>
      </c>
      <c r="AK13" s="33">
        <f>SUMPRODUCT(COUNTIF(C13:AG13,Codes)*(Codes&lt;&gt;"")*(CodeBucket="Personal")*CodeDays)</f>
        <v>0</v>
      </c>
      <c r="AL13" s="34">
        <f>SUMPRODUCT(COUNTIF(C13:AG13,Codes)*(Codes&lt;&gt;"")*(CodeBucket="Other")*CodeDays)</f>
        <v>0</v>
      </c>
      <c r="AM13" s="35">
        <f>SUM(AI13:AL13)</f>
        <v>0</v>
      </c>
    </row>
    <row r="14" spans="2:39" ht="17" customHeight="1">
      <c r="B14" s="29">
        <f>IF(Summary!B14="","",Summary!B14)</f>
        <v>0</v>
      </c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30"/>
      <c r="U14" s="30"/>
      <c r="V14" s="30"/>
      <c r="W14" s="30"/>
      <c r="X14" s="30"/>
      <c r="Y14" s="30"/>
      <c r="Z14" s="30"/>
      <c r="AA14" s="30"/>
      <c r="AB14" s="30"/>
      <c r="AC14" s="30"/>
      <c r="AD14" s="30"/>
      <c r="AE14" s="30"/>
      <c r="AF14" s="30"/>
      <c r="AG14" s="30"/>
      <c r="AI14" s="31">
        <f>SUMPRODUCT(COUNTIF(C14:AG14,Codes)*(Codes&lt;&gt;"")*(CodeBucket="Vacation")*CodeDays)</f>
        <v>0</v>
      </c>
      <c r="AJ14" s="32">
        <f>SUMPRODUCT(COUNTIF(C14:AG14,Codes)*(Codes&lt;&gt;"")*(CodeBucket="Sick")*CodeDays)</f>
        <v>0</v>
      </c>
      <c r="AK14" s="33">
        <f>SUMPRODUCT(COUNTIF(C14:AG14,Codes)*(Codes&lt;&gt;"")*(CodeBucket="Personal")*CodeDays)</f>
        <v>0</v>
      </c>
      <c r="AL14" s="34">
        <f>SUMPRODUCT(COUNTIF(C14:AG14,Codes)*(Codes&lt;&gt;"")*(CodeBucket="Other")*CodeDays)</f>
        <v>0</v>
      </c>
      <c r="AM14" s="35">
        <f>SUM(AI14:AL14)</f>
        <v>0</v>
      </c>
    </row>
    <row r="15" spans="2:39" ht="17" customHeight="1">
      <c r="B15" s="29">
        <f>IF(Summary!B15="","",Summary!B15)</f>
        <v>0</v>
      </c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0"/>
      <c r="AA15" s="30"/>
      <c r="AB15" s="30"/>
      <c r="AC15" s="30"/>
      <c r="AD15" s="30"/>
      <c r="AE15" s="30"/>
      <c r="AF15" s="30"/>
      <c r="AG15" s="30"/>
      <c r="AI15" s="31">
        <f>SUMPRODUCT(COUNTIF(C15:AG15,Codes)*(Codes&lt;&gt;"")*(CodeBucket="Vacation")*CodeDays)</f>
        <v>0</v>
      </c>
      <c r="AJ15" s="32">
        <f>SUMPRODUCT(COUNTIF(C15:AG15,Codes)*(Codes&lt;&gt;"")*(CodeBucket="Sick")*CodeDays)</f>
        <v>0</v>
      </c>
      <c r="AK15" s="33">
        <f>SUMPRODUCT(COUNTIF(C15:AG15,Codes)*(Codes&lt;&gt;"")*(CodeBucket="Personal")*CodeDays)</f>
        <v>0</v>
      </c>
      <c r="AL15" s="34">
        <f>SUMPRODUCT(COUNTIF(C15:AG15,Codes)*(Codes&lt;&gt;"")*(CodeBucket="Other")*CodeDays)</f>
        <v>0</v>
      </c>
      <c r="AM15" s="35">
        <f>SUM(AI15:AL15)</f>
        <v>0</v>
      </c>
    </row>
    <row r="16" spans="2:39" ht="17" customHeight="1">
      <c r="B16" s="29">
        <f>IF(Summary!B16="","",Summary!B16)</f>
        <v>0</v>
      </c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0"/>
      <c r="R16" s="30"/>
      <c r="S16" s="30"/>
      <c r="T16" s="30"/>
      <c r="U16" s="30"/>
      <c r="V16" s="30"/>
      <c r="W16" s="30"/>
      <c r="X16" s="30"/>
      <c r="Y16" s="30"/>
      <c r="Z16" s="30"/>
      <c r="AA16" s="30"/>
      <c r="AB16" s="30"/>
      <c r="AC16" s="30"/>
      <c r="AD16" s="30"/>
      <c r="AE16" s="30"/>
      <c r="AF16" s="30"/>
      <c r="AG16" s="30"/>
      <c r="AI16" s="31">
        <f>SUMPRODUCT(COUNTIF(C16:AG16,Codes)*(Codes&lt;&gt;"")*(CodeBucket="Vacation")*CodeDays)</f>
        <v>0</v>
      </c>
      <c r="AJ16" s="32">
        <f>SUMPRODUCT(COUNTIF(C16:AG16,Codes)*(Codes&lt;&gt;"")*(CodeBucket="Sick")*CodeDays)</f>
        <v>0</v>
      </c>
      <c r="AK16" s="33">
        <f>SUMPRODUCT(COUNTIF(C16:AG16,Codes)*(Codes&lt;&gt;"")*(CodeBucket="Personal")*CodeDays)</f>
        <v>0</v>
      </c>
      <c r="AL16" s="34">
        <f>SUMPRODUCT(COUNTIF(C16:AG16,Codes)*(Codes&lt;&gt;"")*(CodeBucket="Other")*CodeDays)</f>
        <v>0</v>
      </c>
      <c r="AM16" s="35">
        <f>SUM(AI16:AL16)</f>
        <v>0</v>
      </c>
    </row>
    <row r="17" spans="2:39" ht="17" customHeight="1">
      <c r="B17" s="29">
        <f>IF(Summary!B17="","",Summary!B17)</f>
        <v>0</v>
      </c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  <c r="O17" s="30"/>
      <c r="P17" s="30"/>
      <c r="Q17" s="30"/>
      <c r="R17" s="30"/>
      <c r="S17" s="30"/>
      <c r="T17" s="30"/>
      <c r="U17" s="30"/>
      <c r="V17" s="30"/>
      <c r="W17" s="30"/>
      <c r="X17" s="30"/>
      <c r="Y17" s="30"/>
      <c r="Z17" s="30"/>
      <c r="AA17" s="30"/>
      <c r="AB17" s="30"/>
      <c r="AC17" s="30"/>
      <c r="AD17" s="30"/>
      <c r="AE17" s="30"/>
      <c r="AF17" s="30"/>
      <c r="AG17" s="30"/>
      <c r="AI17" s="31">
        <f>SUMPRODUCT(COUNTIF(C17:AG17,Codes)*(Codes&lt;&gt;"")*(CodeBucket="Vacation")*CodeDays)</f>
        <v>0</v>
      </c>
      <c r="AJ17" s="32">
        <f>SUMPRODUCT(COUNTIF(C17:AG17,Codes)*(Codes&lt;&gt;"")*(CodeBucket="Sick")*CodeDays)</f>
        <v>0</v>
      </c>
      <c r="AK17" s="33">
        <f>SUMPRODUCT(COUNTIF(C17:AG17,Codes)*(Codes&lt;&gt;"")*(CodeBucket="Personal")*CodeDays)</f>
        <v>0</v>
      </c>
      <c r="AL17" s="34">
        <f>SUMPRODUCT(COUNTIF(C17:AG17,Codes)*(Codes&lt;&gt;"")*(CodeBucket="Other")*CodeDays)</f>
        <v>0</v>
      </c>
      <c r="AM17" s="35">
        <f>SUM(AI17:AL17)</f>
        <v>0</v>
      </c>
    </row>
    <row r="18" spans="2:39" ht="17" customHeight="1">
      <c r="B18" s="29">
        <f>IF(Summary!B18="","",Summary!B18)</f>
        <v>0</v>
      </c>
      <c r="C18" s="30"/>
      <c r="D18" s="30"/>
      <c r="E18" s="30"/>
      <c r="F18" s="30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30"/>
      <c r="R18" s="30"/>
      <c r="S18" s="30"/>
      <c r="T18" s="30"/>
      <c r="U18" s="30"/>
      <c r="V18" s="30"/>
      <c r="W18" s="30"/>
      <c r="X18" s="30"/>
      <c r="Y18" s="30"/>
      <c r="Z18" s="30"/>
      <c r="AA18" s="30"/>
      <c r="AB18" s="30"/>
      <c r="AC18" s="30"/>
      <c r="AD18" s="30"/>
      <c r="AE18" s="30"/>
      <c r="AF18" s="30"/>
      <c r="AG18" s="30"/>
      <c r="AI18" s="31">
        <f>SUMPRODUCT(COUNTIF(C18:AG18,Codes)*(Codes&lt;&gt;"")*(CodeBucket="Vacation")*CodeDays)</f>
        <v>0</v>
      </c>
      <c r="AJ18" s="32">
        <f>SUMPRODUCT(COUNTIF(C18:AG18,Codes)*(Codes&lt;&gt;"")*(CodeBucket="Sick")*CodeDays)</f>
        <v>0</v>
      </c>
      <c r="AK18" s="33">
        <f>SUMPRODUCT(COUNTIF(C18:AG18,Codes)*(Codes&lt;&gt;"")*(CodeBucket="Personal")*CodeDays)</f>
        <v>0</v>
      </c>
      <c r="AL18" s="34">
        <f>SUMPRODUCT(COUNTIF(C18:AG18,Codes)*(Codes&lt;&gt;"")*(CodeBucket="Other")*CodeDays)</f>
        <v>0</v>
      </c>
      <c r="AM18" s="35">
        <f>SUM(AI18:AL18)</f>
        <v>0</v>
      </c>
    </row>
    <row r="19" spans="2:39" ht="17" customHeight="1">
      <c r="B19" s="29">
        <f>IF(Summary!B19="","",Summary!B19)</f>
        <v>0</v>
      </c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30"/>
      <c r="AE19" s="30"/>
      <c r="AF19" s="30"/>
      <c r="AG19" s="30"/>
      <c r="AI19" s="31">
        <f>SUMPRODUCT(COUNTIF(C19:AG19,Codes)*(Codes&lt;&gt;"")*(CodeBucket="Vacation")*CodeDays)</f>
        <v>0</v>
      </c>
      <c r="AJ19" s="32">
        <f>SUMPRODUCT(COUNTIF(C19:AG19,Codes)*(Codes&lt;&gt;"")*(CodeBucket="Sick")*CodeDays)</f>
        <v>0</v>
      </c>
      <c r="AK19" s="33">
        <f>SUMPRODUCT(COUNTIF(C19:AG19,Codes)*(Codes&lt;&gt;"")*(CodeBucket="Personal")*CodeDays)</f>
        <v>0</v>
      </c>
      <c r="AL19" s="34">
        <f>SUMPRODUCT(COUNTIF(C19:AG19,Codes)*(Codes&lt;&gt;"")*(CodeBucket="Other")*CodeDays)</f>
        <v>0</v>
      </c>
      <c r="AM19" s="35">
        <f>SUM(AI19:AL19)</f>
        <v>0</v>
      </c>
    </row>
    <row r="20" spans="2:39" ht="17" customHeight="1">
      <c r="B20" s="29">
        <f>IF(Summary!B20="","",Summary!B20)</f>
        <v>0</v>
      </c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0"/>
      <c r="V20" s="30"/>
      <c r="W20" s="30"/>
      <c r="X20" s="30"/>
      <c r="Y20" s="30"/>
      <c r="Z20" s="30"/>
      <c r="AA20" s="30"/>
      <c r="AB20" s="30"/>
      <c r="AC20" s="30"/>
      <c r="AD20" s="30"/>
      <c r="AE20" s="30"/>
      <c r="AF20" s="30"/>
      <c r="AG20" s="30"/>
      <c r="AI20" s="31">
        <f>SUMPRODUCT(COUNTIF(C20:AG20,Codes)*(Codes&lt;&gt;"")*(CodeBucket="Vacation")*CodeDays)</f>
        <v>0</v>
      </c>
      <c r="AJ20" s="32">
        <f>SUMPRODUCT(COUNTIF(C20:AG20,Codes)*(Codes&lt;&gt;"")*(CodeBucket="Sick")*CodeDays)</f>
        <v>0</v>
      </c>
      <c r="AK20" s="33">
        <f>SUMPRODUCT(COUNTIF(C20:AG20,Codes)*(Codes&lt;&gt;"")*(CodeBucket="Personal")*CodeDays)</f>
        <v>0</v>
      </c>
      <c r="AL20" s="34">
        <f>SUMPRODUCT(COUNTIF(C20:AG20,Codes)*(Codes&lt;&gt;"")*(CodeBucket="Other")*CodeDays)</f>
        <v>0</v>
      </c>
      <c r="AM20" s="35">
        <f>SUM(AI20:AL20)</f>
        <v>0</v>
      </c>
    </row>
    <row r="21" spans="2:39" ht="17" customHeight="1">
      <c r="B21" s="29">
        <f>IF(Summary!B21="","",Summary!B21)</f>
        <v>0</v>
      </c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0"/>
      <c r="P21" s="30"/>
      <c r="Q21" s="30"/>
      <c r="R21" s="30"/>
      <c r="S21" s="30"/>
      <c r="T21" s="30"/>
      <c r="U21" s="30"/>
      <c r="V21" s="30"/>
      <c r="W21" s="30"/>
      <c r="X21" s="30"/>
      <c r="Y21" s="30"/>
      <c r="Z21" s="30"/>
      <c r="AA21" s="30"/>
      <c r="AB21" s="30"/>
      <c r="AC21" s="30"/>
      <c r="AD21" s="30"/>
      <c r="AE21" s="30"/>
      <c r="AF21" s="30"/>
      <c r="AG21" s="30"/>
      <c r="AI21" s="31">
        <f>SUMPRODUCT(COUNTIF(C21:AG21,Codes)*(Codes&lt;&gt;"")*(CodeBucket="Vacation")*CodeDays)</f>
        <v>0</v>
      </c>
      <c r="AJ21" s="32">
        <f>SUMPRODUCT(COUNTIF(C21:AG21,Codes)*(Codes&lt;&gt;"")*(CodeBucket="Sick")*CodeDays)</f>
        <v>0</v>
      </c>
      <c r="AK21" s="33">
        <f>SUMPRODUCT(COUNTIF(C21:AG21,Codes)*(Codes&lt;&gt;"")*(CodeBucket="Personal")*CodeDays)</f>
        <v>0</v>
      </c>
      <c r="AL21" s="34">
        <f>SUMPRODUCT(COUNTIF(C21:AG21,Codes)*(Codes&lt;&gt;"")*(CodeBucket="Other")*CodeDays)</f>
        <v>0</v>
      </c>
      <c r="AM21" s="35">
        <f>SUM(AI21:AL21)</f>
        <v>0</v>
      </c>
    </row>
    <row r="22" spans="2:39" ht="17" customHeight="1">
      <c r="B22" s="29">
        <f>IF(Summary!B22="","",Summary!B22)</f>
        <v>0</v>
      </c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0"/>
      <c r="W22" s="30"/>
      <c r="X22" s="30"/>
      <c r="Y22" s="30"/>
      <c r="Z22" s="30"/>
      <c r="AA22" s="30"/>
      <c r="AB22" s="30"/>
      <c r="AC22" s="30"/>
      <c r="AD22" s="30"/>
      <c r="AE22" s="30"/>
      <c r="AF22" s="30"/>
      <c r="AG22" s="30"/>
      <c r="AI22" s="31">
        <f>SUMPRODUCT(COUNTIF(C22:AG22,Codes)*(Codes&lt;&gt;"")*(CodeBucket="Vacation")*CodeDays)</f>
        <v>0</v>
      </c>
      <c r="AJ22" s="32">
        <f>SUMPRODUCT(COUNTIF(C22:AG22,Codes)*(Codes&lt;&gt;"")*(CodeBucket="Sick")*CodeDays)</f>
        <v>0</v>
      </c>
      <c r="AK22" s="33">
        <f>SUMPRODUCT(COUNTIF(C22:AG22,Codes)*(Codes&lt;&gt;"")*(CodeBucket="Personal")*CodeDays)</f>
        <v>0</v>
      </c>
      <c r="AL22" s="34">
        <f>SUMPRODUCT(COUNTIF(C22:AG22,Codes)*(Codes&lt;&gt;"")*(CodeBucket="Other")*CodeDays)</f>
        <v>0</v>
      </c>
      <c r="AM22" s="35">
        <f>SUM(AI22:AL22)</f>
        <v>0</v>
      </c>
    </row>
    <row r="23" spans="2:39" ht="17" customHeight="1">
      <c r="B23" s="29">
        <f>IF(Summary!B23="","",Summary!B23)</f>
        <v>0</v>
      </c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30"/>
      <c r="S23" s="30"/>
      <c r="T23" s="30"/>
      <c r="U23" s="30"/>
      <c r="V23" s="30"/>
      <c r="W23" s="30"/>
      <c r="X23" s="30"/>
      <c r="Y23" s="30"/>
      <c r="Z23" s="30"/>
      <c r="AA23" s="30"/>
      <c r="AB23" s="30"/>
      <c r="AC23" s="30"/>
      <c r="AD23" s="30"/>
      <c r="AE23" s="30"/>
      <c r="AF23" s="30"/>
      <c r="AG23" s="30"/>
      <c r="AI23" s="31">
        <f>SUMPRODUCT(COUNTIF(C23:AG23,Codes)*(Codes&lt;&gt;"")*(CodeBucket="Vacation")*CodeDays)</f>
        <v>0</v>
      </c>
      <c r="AJ23" s="32">
        <f>SUMPRODUCT(COUNTIF(C23:AG23,Codes)*(Codes&lt;&gt;"")*(CodeBucket="Sick")*CodeDays)</f>
        <v>0</v>
      </c>
      <c r="AK23" s="33">
        <f>SUMPRODUCT(COUNTIF(C23:AG23,Codes)*(Codes&lt;&gt;"")*(CodeBucket="Personal")*CodeDays)</f>
        <v>0</v>
      </c>
      <c r="AL23" s="34">
        <f>SUMPRODUCT(COUNTIF(C23:AG23,Codes)*(Codes&lt;&gt;"")*(CodeBucket="Other")*CodeDays)</f>
        <v>0</v>
      </c>
      <c r="AM23" s="35">
        <f>SUM(AI23:AL23)</f>
        <v>0</v>
      </c>
    </row>
    <row r="24" spans="2:39" ht="17" customHeight="1">
      <c r="B24" s="29">
        <f>IF(Summary!B24="","",Summary!B24)</f>
        <v>0</v>
      </c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30"/>
      <c r="S24" s="30"/>
      <c r="T24" s="30"/>
      <c r="U24" s="30"/>
      <c r="V24" s="30"/>
      <c r="W24" s="30"/>
      <c r="X24" s="30"/>
      <c r="Y24" s="30"/>
      <c r="Z24" s="30"/>
      <c r="AA24" s="30"/>
      <c r="AB24" s="30"/>
      <c r="AC24" s="30"/>
      <c r="AD24" s="30"/>
      <c r="AE24" s="30"/>
      <c r="AF24" s="30"/>
      <c r="AG24" s="30"/>
      <c r="AI24" s="31">
        <f>SUMPRODUCT(COUNTIF(C24:AG24,Codes)*(Codes&lt;&gt;"")*(CodeBucket="Vacation")*CodeDays)</f>
        <v>0</v>
      </c>
      <c r="AJ24" s="32">
        <f>SUMPRODUCT(COUNTIF(C24:AG24,Codes)*(Codes&lt;&gt;"")*(CodeBucket="Sick")*CodeDays)</f>
        <v>0</v>
      </c>
      <c r="AK24" s="33">
        <f>SUMPRODUCT(COUNTIF(C24:AG24,Codes)*(Codes&lt;&gt;"")*(CodeBucket="Personal")*CodeDays)</f>
        <v>0</v>
      </c>
      <c r="AL24" s="34">
        <f>SUMPRODUCT(COUNTIF(C24:AG24,Codes)*(Codes&lt;&gt;"")*(CodeBucket="Other")*CodeDays)</f>
        <v>0</v>
      </c>
      <c r="AM24" s="35">
        <f>SUM(AI24:AL24)</f>
        <v>0</v>
      </c>
    </row>
    <row r="25" spans="2:39" ht="17" customHeight="1">
      <c r="B25" s="29">
        <f>IF(Summary!B25="","",Summary!B25)</f>
        <v>0</v>
      </c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I25" s="31">
        <f>SUMPRODUCT(COUNTIF(C25:AG25,Codes)*(Codes&lt;&gt;"")*(CodeBucket="Vacation")*CodeDays)</f>
        <v>0</v>
      </c>
      <c r="AJ25" s="32">
        <f>SUMPRODUCT(COUNTIF(C25:AG25,Codes)*(Codes&lt;&gt;"")*(CodeBucket="Sick")*CodeDays)</f>
        <v>0</v>
      </c>
      <c r="AK25" s="33">
        <f>SUMPRODUCT(COUNTIF(C25:AG25,Codes)*(Codes&lt;&gt;"")*(CodeBucket="Personal")*CodeDays)</f>
        <v>0</v>
      </c>
      <c r="AL25" s="34">
        <f>SUMPRODUCT(COUNTIF(C25:AG25,Codes)*(Codes&lt;&gt;"")*(CodeBucket="Other")*CodeDays)</f>
        <v>0</v>
      </c>
      <c r="AM25" s="35">
        <f>SUM(AI25:AL25)</f>
        <v>0</v>
      </c>
    </row>
    <row r="26" spans="2:39" ht="17" customHeight="1">
      <c r="B26" s="29">
        <f>IF(Summary!B26="","",Summary!B26)</f>
        <v>0</v>
      </c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I26" s="31">
        <f>SUMPRODUCT(COUNTIF(C26:AG26,Codes)*(Codes&lt;&gt;"")*(CodeBucket="Vacation")*CodeDays)</f>
        <v>0</v>
      </c>
      <c r="AJ26" s="32">
        <f>SUMPRODUCT(COUNTIF(C26:AG26,Codes)*(Codes&lt;&gt;"")*(CodeBucket="Sick")*CodeDays)</f>
        <v>0</v>
      </c>
      <c r="AK26" s="33">
        <f>SUMPRODUCT(COUNTIF(C26:AG26,Codes)*(Codes&lt;&gt;"")*(CodeBucket="Personal")*CodeDays)</f>
        <v>0</v>
      </c>
      <c r="AL26" s="34">
        <f>SUMPRODUCT(COUNTIF(C26:AG26,Codes)*(Codes&lt;&gt;"")*(CodeBucket="Other")*CodeDays)</f>
        <v>0</v>
      </c>
      <c r="AM26" s="35">
        <f>SUM(AI26:AL26)</f>
        <v>0</v>
      </c>
    </row>
    <row r="27" spans="2:39" ht="17" customHeight="1">
      <c r="B27" s="29">
        <f>IF(Summary!B27="","",Summary!B27)</f>
        <v>0</v>
      </c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  <c r="AD27" s="30"/>
      <c r="AE27" s="30"/>
      <c r="AF27" s="30"/>
      <c r="AG27" s="30"/>
      <c r="AI27" s="31">
        <f>SUMPRODUCT(COUNTIF(C27:AG27,Codes)*(Codes&lt;&gt;"")*(CodeBucket="Vacation")*CodeDays)</f>
        <v>0</v>
      </c>
      <c r="AJ27" s="32">
        <f>SUMPRODUCT(COUNTIF(C27:AG27,Codes)*(Codes&lt;&gt;"")*(CodeBucket="Sick")*CodeDays)</f>
        <v>0</v>
      </c>
      <c r="AK27" s="33">
        <f>SUMPRODUCT(COUNTIF(C27:AG27,Codes)*(Codes&lt;&gt;"")*(CodeBucket="Personal")*CodeDays)</f>
        <v>0</v>
      </c>
      <c r="AL27" s="34">
        <f>SUMPRODUCT(COUNTIF(C27:AG27,Codes)*(Codes&lt;&gt;"")*(CodeBucket="Other")*CodeDays)</f>
        <v>0</v>
      </c>
      <c r="AM27" s="35">
        <f>SUM(AI27:AL27)</f>
        <v>0</v>
      </c>
    </row>
    <row r="28" spans="2:39" ht="17" customHeight="1">
      <c r="B28" s="29">
        <f>IF(Summary!B28="","",Summary!B28)</f>
        <v>0</v>
      </c>
      <c r="C28" s="30"/>
      <c r="D28" s="30"/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0"/>
      <c r="P28" s="30"/>
      <c r="Q28" s="30"/>
      <c r="R28" s="30"/>
      <c r="S28" s="30"/>
      <c r="T28" s="30"/>
      <c r="U28" s="30"/>
      <c r="V28" s="30"/>
      <c r="W28" s="30"/>
      <c r="X28" s="30"/>
      <c r="Y28" s="30"/>
      <c r="Z28" s="30"/>
      <c r="AA28" s="30"/>
      <c r="AB28" s="30"/>
      <c r="AC28" s="30"/>
      <c r="AD28" s="30"/>
      <c r="AE28" s="30"/>
      <c r="AF28" s="30"/>
      <c r="AG28" s="30"/>
      <c r="AI28" s="31">
        <f>SUMPRODUCT(COUNTIF(C28:AG28,Codes)*(Codes&lt;&gt;"")*(CodeBucket="Vacation")*CodeDays)</f>
        <v>0</v>
      </c>
      <c r="AJ28" s="32">
        <f>SUMPRODUCT(COUNTIF(C28:AG28,Codes)*(Codes&lt;&gt;"")*(CodeBucket="Sick")*CodeDays)</f>
        <v>0</v>
      </c>
      <c r="AK28" s="33">
        <f>SUMPRODUCT(COUNTIF(C28:AG28,Codes)*(Codes&lt;&gt;"")*(CodeBucket="Personal")*CodeDays)</f>
        <v>0</v>
      </c>
      <c r="AL28" s="34">
        <f>SUMPRODUCT(COUNTIF(C28:AG28,Codes)*(Codes&lt;&gt;"")*(CodeBucket="Other")*CodeDays)</f>
        <v>0</v>
      </c>
      <c r="AM28" s="35">
        <f>SUM(AI28:AL28)</f>
        <v>0</v>
      </c>
    </row>
    <row r="29" spans="2:39" ht="17" customHeight="1">
      <c r="B29" s="29">
        <f>IF(Summary!B29="","",Summary!B29)</f>
        <v>0</v>
      </c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30"/>
      <c r="AD29" s="30"/>
      <c r="AE29" s="30"/>
      <c r="AF29" s="30"/>
      <c r="AG29" s="30"/>
      <c r="AI29" s="31">
        <f>SUMPRODUCT(COUNTIF(C29:AG29,Codes)*(Codes&lt;&gt;"")*(CodeBucket="Vacation")*CodeDays)</f>
        <v>0</v>
      </c>
      <c r="AJ29" s="32">
        <f>SUMPRODUCT(COUNTIF(C29:AG29,Codes)*(Codes&lt;&gt;"")*(CodeBucket="Sick")*CodeDays)</f>
        <v>0</v>
      </c>
      <c r="AK29" s="33">
        <f>SUMPRODUCT(COUNTIF(C29:AG29,Codes)*(Codes&lt;&gt;"")*(CodeBucket="Personal")*CodeDays)</f>
        <v>0</v>
      </c>
      <c r="AL29" s="34">
        <f>SUMPRODUCT(COUNTIF(C29:AG29,Codes)*(Codes&lt;&gt;"")*(CodeBucket="Other")*CodeDays)</f>
        <v>0</v>
      </c>
      <c r="AM29" s="35">
        <f>SUM(AI29:AL29)</f>
        <v>0</v>
      </c>
    </row>
    <row r="30" spans="2:39" ht="17" customHeight="1">
      <c r="B30" s="29">
        <f>IF(Summary!B30="","",Summary!B30)</f>
        <v>0</v>
      </c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  <c r="AF30" s="30"/>
      <c r="AG30" s="30"/>
      <c r="AI30" s="31">
        <f>SUMPRODUCT(COUNTIF(C30:AG30,Codes)*(Codes&lt;&gt;"")*(CodeBucket="Vacation")*CodeDays)</f>
        <v>0</v>
      </c>
      <c r="AJ30" s="32">
        <f>SUMPRODUCT(COUNTIF(C30:AG30,Codes)*(Codes&lt;&gt;"")*(CodeBucket="Sick")*CodeDays)</f>
        <v>0</v>
      </c>
      <c r="AK30" s="33">
        <f>SUMPRODUCT(COUNTIF(C30:AG30,Codes)*(Codes&lt;&gt;"")*(CodeBucket="Personal")*CodeDays)</f>
        <v>0</v>
      </c>
      <c r="AL30" s="34">
        <f>SUMPRODUCT(COUNTIF(C30:AG30,Codes)*(Codes&lt;&gt;"")*(CodeBucket="Other")*CodeDays)</f>
        <v>0</v>
      </c>
      <c r="AM30" s="35">
        <f>SUM(AI30:AL30)</f>
        <v>0</v>
      </c>
    </row>
    <row r="31" spans="2:39" ht="16" customHeight="1">
      <c r="B31" s="36" t="s">
        <v>94</v>
      </c>
      <c r="C31" s="37">
        <f>IF(COUNTA(C6:C30)=0,"",COUNTA(C6:C30))</f>
        <v>0</v>
      </c>
      <c r="D31" s="37">
        <f>IF(COUNTA(D6:D30)=0,"",COUNTA(D6:D30))</f>
        <v>0</v>
      </c>
      <c r="E31" s="37">
        <f>IF(COUNTA(E6:E30)=0,"",COUNTA(E6:E30))</f>
        <v>0</v>
      </c>
      <c r="F31" s="37">
        <f>IF(COUNTA(F6:F30)=0,"",COUNTA(F6:F30))</f>
        <v>0</v>
      </c>
      <c r="G31" s="37">
        <f>IF(COUNTA(G6:G30)=0,"",COUNTA(G6:G30))</f>
        <v>0</v>
      </c>
      <c r="H31" s="37">
        <f>IF(COUNTA(H6:H30)=0,"",COUNTA(H6:H30))</f>
        <v>0</v>
      </c>
      <c r="I31" s="37">
        <f>IF(COUNTA(I6:I30)=0,"",COUNTA(I6:I30))</f>
        <v>0</v>
      </c>
      <c r="J31" s="37">
        <f>IF(COUNTA(J6:J30)=0,"",COUNTA(J6:J30))</f>
        <v>0</v>
      </c>
      <c r="K31" s="37">
        <f>IF(COUNTA(K6:K30)=0,"",COUNTA(K6:K30))</f>
        <v>0</v>
      </c>
      <c r="L31" s="37">
        <f>IF(COUNTA(L6:L30)=0,"",COUNTA(L6:L30))</f>
        <v>0</v>
      </c>
      <c r="M31" s="37">
        <f>IF(COUNTA(M6:M30)=0,"",COUNTA(M6:M30))</f>
        <v>0</v>
      </c>
      <c r="N31" s="37">
        <f>IF(COUNTA(N6:N30)=0,"",COUNTA(N6:N30))</f>
        <v>0</v>
      </c>
      <c r="O31" s="37">
        <f>IF(COUNTA(O6:O30)=0,"",COUNTA(O6:O30))</f>
        <v>0</v>
      </c>
      <c r="P31" s="37">
        <f>IF(COUNTA(P6:P30)=0,"",COUNTA(P6:P30))</f>
        <v>0</v>
      </c>
      <c r="Q31" s="37">
        <f>IF(COUNTA(Q6:Q30)=0,"",COUNTA(Q6:Q30))</f>
        <v>0</v>
      </c>
      <c r="R31" s="37">
        <f>IF(COUNTA(R6:R30)=0,"",COUNTA(R6:R30))</f>
        <v>0</v>
      </c>
      <c r="S31" s="37">
        <f>IF(COUNTA(S6:S30)=0,"",COUNTA(S6:S30))</f>
        <v>0</v>
      </c>
      <c r="T31" s="37">
        <f>IF(COUNTA(T6:T30)=0,"",COUNTA(T6:T30))</f>
        <v>0</v>
      </c>
      <c r="U31" s="37">
        <f>IF(COUNTA(U6:U30)=0,"",COUNTA(U6:U30))</f>
        <v>0</v>
      </c>
      <c r="V31" s="37">
        <f>IF(COUNTA(V6:V30)=0,"",COUNTA(V6:V30))</f>
        <v>0</v>
      </c>
      <c r="W31" s="37">
        <f>IF(COUNTA(W6:W30)=0,"",COUNTA(W6:W30))</f>
        <v>0</v>
      </c>
      <c r="X31" s="37">
        <f>IF(COUNTA(X6:X30)=0,"",COUNTA(X6:X30))</f>
        <v>0</v>
      </c>
      <c r="Y31" s="37">
        <f>IF(COUNTA(Y6:Y30)=0,"",COUNTA(Y6:Y30))</f>
        <v>0</v>
      </c>
      <c r="Z31" s="37">
        <f>IF(COUNTA(Z6:Z30)=0,"",COUNTA(Z6:Z30))</f>
        <v>0</v>
      </c>
      <c r="AA31" s="37">
        <f>IF(COUNTA(AA6:AA30)=0,"",COUNTA(AA6:AA30))</f>
        <v>0</v>
      </c>
      <c r="AB31" s="37">
        <f>IF(COUNTA(AB6:AB30)=0,"",COUNTA(AB6:AB30))</f>
        <v>0</v>
      </c>
      <c r="AC31" s="37">
        <f>IF(COUNTA(AC6:AC30)=0,"",COUNTA(AC6:AC30))</f>
        <v>0</v>
      </c>
      <c r="AD31" s="37">
        <f>IF(COUNTA(AD6:AD30)=0,"",COUNTA(AD6:AD30))</f>
        <v>0</v>
      </c>
      <c r="AE31" s="37">
        <f>IF(COUNTA(AE6:AE30)=0,"",COUNTA(AE6:AE30))</f>
        <v>0</v>
      </c>
      <c r="AF31" s="37">
        <f>IF(COUNTA(AF6:AF30)=0,"",COUNTA(AF6:AF30))</f>
        <v>0</v>
      </c>
      <c r="AG31" s="37">
        <f>IF(COUNTA(AG6:AG30)=0,"",COUNTA(AG6:AG30))</f>
        <v>0</v>
      </c>
    </row>
    <row r="33" spans="2:39">
      <c r="B33" s="38" t="s">
        <v>95</v>
      </c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8"/>
      <c r="AG33" s="38"/>
      <c r="AH33" s="38"/>
      <c r="AI33" s="38"/>
      <c r="AJ33" s="38"/>
      <c r="AK33" s="38"/>
      <c r="AL33" s="38"/>
      <c r="AM33" s="38"/>
    </row>
  </sheetData>
  <mergeCells count="9">
    <mergeCell ref="B2:I2"/>
    <mergeCell ref="J2:N2"/>
    <mergeCell ref="P2:AM2"/>
    <mergeCell ref="AI4:AI5"/>
    <mergeCell ref="AJ4:AJ5"/>
    <mergeCell ref="AK4:AK5"/>
    <mergeCell ref="AL4:AL5"/>
    <mergeCell ref="AM4:AM5"/>
    <mergeCell ref="B33:AM33"/>
  </mergeCells>
  <conditionalFormatting sqref="C4:AG5">
    <cfRule type="expression" dxfId="7" priority="8">
      <formula>AND(MONTH(DATE(CalYear,6,COLUMN()-2))=6,COUNTIFS(INDIRECT("Holidays!$C$6:$C$60"),DATE(CalYear,6,COLUMN()-2),INDIRECT("Holidays!$D$6:$D$60"),"Holiday")&gt;0)</formula>
    </cfRule>
  </conditionalFormatting>
  <conditionalFormatting sqref="C6:AG30">
    <cfRule type="expression" dxfId="0" priority="1" stopIfTrue="1">
      <formula>MONTH(DATE(CalYear,6,COLUMN()-2))&lt;&gt;6</formula>
    </cfRule>
    <cfRule type="expression" dxfId="1" priority="2" stopIfTrue="1">
      <formula>AND(C6&lt;&gt;"",COUNTIFS(INDIRECT("Setup!$B$9:$B$22"),C6,INDIRECT("Setup!$E$9:$E$22"),"Vacation")&gt;0)</formula>
    </cfRule>
    <cfRule type="expression" dxfId="2" priority="3" stopIfTrue="1">
      <formula>AND(C6&lt;&gt;"",COUNTIFS(INDIRECT("Setup!$B$9:$B$22"),C6,INDIRECT("Setup!$E$9:$E$22"),"Sick")&gt;0)</formula>
    </cfRule>
    <cfRule type="expression" dxfId="3" priority="4" stopIfTrue="1">
      <formula>AND(C6&lt;&gt;"",COUNTIFS(INDIRECT("Setup!$B$9:$B$22"),C6,INDIRECT("Setup!$E$9:$E$22"),"Personal")&gt;0)</formula>
    </cfRule>
    <cfRule type="expression" dxfId="4" priority="5" stopIfTrue="1">
      <formula>AND(C6&lt;&gt;"",COUNTIFS(INDIRECT("Setup!$B$9:$B$22"),C6,INDIRECT("Setup!$E$9:$E$22"),"Other")&gt;0)</formula>
    </cfRule>
    <cfRule type="expression" dxfId="5" priority="6" stopIfTrue="1">
      <formula>COUNTIFS(INDIRECT("Holidays!$C$6:$C$60"),DATE(CalYear,6,COLUMN()-2),INDIRECT("Holidays!$D$6:$D$60"),"Holiday")&gt;0</formula>
    </cfRule>
    <cfRule type="expression" dxfId="6" priority="7" stopIfTrue="1">
      <formula>OR(WEEKDAY(DATE(CalYear,6,COLUMN()-2))=1,WEEKDAY(DATE(CalYear,6,COLUMN()-2))=7)</formula>
    </cfRule>
  </conditionalFormatting>
  <dataValidations count="1">
    <dataValidation type="list" errorStyle="warning" allowBlank="1" showInputMessage="1" showErrorMessage="1" error="Not a code from the Setup tab (it won't be counted)." sqref="C6:AG30">
      <formula1>Codes</formula1>
    </dataValidation>
  </dataValidations>
  <printOptions horizontalCentered="1"/>
  <pageMargins left="0.3" right="0.3" top="0.3" bottom="0.3" header="0.3" footer="0.3"/>
  <pageSetup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2:AM33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/>
    </sheetView>
  </sheetViews>
  <sheetFormatPr defaultRowHeight="15"/>
  <cols>
    <col min="1" max="1" width="1.7109375" customWidth="1"/>
    <col min="2" max="2" width="18.7109375" customWidth="1"/>
    <col min="3" max="33" width="3.85546875" customWidth="1"/>
    <col min="34" max="34" width="1.7109375" customWidth="1"/>
    <col min="35" max="38" width="5.7109375" customWidth="1"/>
    <col min="39" max="39" width="6.28515625" customWidth="1"/>
  </cols>
  <sheetData>
    <row r="2" spans="2:39" ht="34" customHeight="1">
      <c r="B2" s="1" t="s">
        <v>101</v>
      </c>
      <c r="C2" s="1"/>
      <c r="D2" s="1"/>
      <c r="E2" s="1"/>
      <c r="F2" s="1"/>
      <c r="G2" s="1"/>
      <c r="H2" s="1"/>
      <c r="I2" s="1"/>
      <c r="J2" s="18">
        <f>CalYear</f>
        <v>0</v>
      </c>
      <c r="K2" s="18"/>
      <c r="L2" s="18"/>
      <c r="M2" s="18"/>
      <c r="N2" s="18"/>
      <c r="P2" s="19">
        <f>"Codes: "&amp;Setup!B9&amp;" "&amp;Setup!C9&amp;" · "&amp;Setup!B10&amp;" "&amp;Setup!C10&amp;" · "&amp;Setup!B11&amp;" "&amp;Setup!C11&amp;" · "&amp;Setup!B13&amp;" "&amp;Setup!C13&amp;" · "&amp;Setup!B15&amp;" "&amp;Setup!C15&amp;"   (full list on Setup)"</f>
        <v>0</v>
      </c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</row>
    <row r="4" spans="2:39" ht="14" customHeight="1">
      <c r="B4" s="20"/>
      <c r="C4" s="21">
        <f>IF(MONTH(DATE(CalYear,7,1))=7,CHOOSE(WEEKDAY(DATE(CalYear,7,1)),"S","M","T","W","T","F","S"),"")</f>
        <v>0</v>
      </c>
      <c r="D4" s="21">
        <f>IF(MONTH(DATE(CalYear,7,2))=7,CHOOSE(WEEKDAY(DATE(CalYear,7,2)),"S","M","T","W","T","F","S"),"")</f>
        <v>0</v>
      </c>
      <c r="E4" s="21">
        <f>IF(MONTH(DATE(CalYear,7,3))=7,CHOOSE(WEEKDAY(DATE(CalYear,7,3)),"S","M","T","W","T","F","S"),"")</f>
        <v>0</v>
      </c>
      <c r="F4" s="21">
        <f>IF(MONTH(DATE(CalYear,7,4))=7,CHOOSE(WEEKDAY(DATE(CalYear,7,4)),"S","M","T","W","T","F","S"),"")</f>
        <v>0</v>
      </c>
      <c r="G4" s="21">
        <f>IF(MONTH(DATE(CalYear,7,5))=7,CHOOSE(WEEKDAY(DATE(CalYear,7,5)),"S","M","T","W","T","F","S"),"")</f>
        <v>0</v>
      </c>
      <c r="H4" s="21">
        <f>IF(MONTH(DATE(CalYear,7,6))=7,CHOOSE(WEEKDAY(DATE(CalYear,7,6)),"S","M","T","W","T","F","S"),"")</f>
        <v>0</v>
      </c>
      <c r="I4" s="21">
        <f>IF(MONTH(DATE(CalYear,7,7))=7,CHOOSE(WEEKDAY(DATE(CalYear,7,7)),"S","M","T","W","T","F","S"),"")</f>
        <v>0</v>
      </c>
      <c r="J4" s="21">
        <f>IF(MONTH(DATE(CalYear,7,8))=7,CHOOSE(WEEKDAY(DATE(CalYear,7,8)),"S","M","T","W","T","F","S"),"")</f>
        <v>0</v>
      </c>
      <c r="K4" s="21">
        <f>IF(MONTH(DATE(CalYear,7,9))=7,CHOOSE(WEEKDAY(DATE(CalYear,7,9)),"S","M","T","W","T","F","S"),"")</f>
        <v>0</v>
      </c>
      <c r="L4" s="21">
        <f>IF(MONTH(DATE(CalYear,7,10))=7,CHOOSE(WEEKDAY(DATE(CalYear,7,10)),"S","M","T","W","T","F","S"),"")</f>
        <v>0</v>
      </c>
      <c r="M4" s="21">
        <f>IF(MONTH(DATE(CalYear,7,11))=7,CHOOSE(WEEKDAY(DATE(CalYear,7,11)),"S","M","T","W","T","F","S"),"")</f>
        <v>0</v>
      </c>
      <c r="N4" s="21">
        <f>IF(MONTH(DATE(CalYear,7,12))=7,CHOOSE(WEEKDAY(DATE(CalYear,7,12)),"S","M","T","W","T","F","S"),"")</f>
        <v>0</v>
      </c>
      <c r="O4" s="21">
        <f>IF(MONTH(DATE(CalYear,7,13))=7,CHOOSE(WEEKDAY(DATE(CalYear,7,13)),"S","M","T","W","T","F","S"),"")</f>
        <v>0</v>
      </c>
      <c r="P4" s="21">
        <f>IF(MONTH(DATE(CalYear,7,14))=7,CHOOSE(WEEKDAY(DATE(CalYear,7,14)),"S","M","T","W","T","F","S"),"")</f>
        <v>0</v>
      </c>
      <c r="Q4" s="21">
        <f>IF(MONTH(DATE(CalYear,7,15))=7,CHOOSE(WEEKDAY(DATE(CalYear,7,15)),"S","M","T","W","T","F","S"),"")</f>
        <v>0</v>
      </c>
      <c r="R4" s="21">
        <f>IF(MONTH(DATE(CalYear,7,16))=7,CHOOSE(WEEKDAY(DATE(CalYear,7,16)),"S","M","T","W","T","F","S"),"")</f>
        <v>0</v>
      </c>
      <c r="S4" s="21">
        <f>IF(MONTH(DATE(CalYear,7,17))=7,CHOOSE(WEEKDAY(DATE(CalYear,7,17)),"S","M","T","W","T","F","S"),"")</f>
        <v>0</v>
      </c>
      <c r="T4" s="21">
        <f>IF(MONTH(DATE(CalYear,7,18))=7,CHOOSE(WEEKDAY(DATE(CalYear,7,18)),"S","M","T","W","T","F","S"),"")</f>
        <v>0</v>
      </c>
      <c r="U4" s="21">
        <f>IF(MONTH(DATE(CalYear,7,19))=7,CHOOSE(WEEKDAY(DATE(CalYear,7,19)),"S","M","T","W","T","F","S"),"")</f>
        <v>0</v>
      </c>
      <c r="V4" s="21">
        <f>IF(MONTH(DATE(CalYear,7,20))=7,CHOOSE(WEEKDAY(DATE(CalYear,7,20)),"S","M","T","W","T","F","S"),"")</f>
        <v>0</v>
      </c>
      <c r="W4" s="21">
        <f>IF(MONTH(DATE(CalYear,7,21))=7,CHOOSE(WEEKDAY(DATE(CalYear,7,21)),"S","M","T","W","T","F","S"),"")</f>
        <v>0</v>
      </c>
      <c r="X4" s="21">
        <f>IF(MONTH(DATE(CalYear,7,22))=7,CHOOSE(WEEKDAY(DATE(CalYear,7,22)),"S","M","T","W","T","F","S"),"")</f>
        <v>0</v>
      </c>
      <c r="Y4" s="21">
        <f>IF(MONTH(DATE(CalYear,7,23))=7,CHOOSE(WEEKDAY(DATE(CalYear,7,23)),"S","M","T","W","T","F","S"),"")</f>
        <v>0</v>
      </c>
      <c r="Z4" s="21">
        <f>IF(MONTH(DATE(CalYear,7,24))=7,CHOOSE(WEEKDAY(DATE(CalYear,7,24)),"S","M","T","W","T","F","S"),"")</f>
        <v>0</v>
      </c>
      <c r="AA4" s="21">
        <f>IF(MONTH(DATE(CalYear,7,25))=7,CHOOSE(WEEKDAY(DATE(CalYear,7,25)),"S","M","T","W","T","F","S"),"")</f>
        <v>0</v>
      </c>
      <c r="AB4" s="21">
        <f>IF(MONTH(DATE(CalYear,7,26))=7,CHOOSE(WEEKDAY(DATE(CalYear,7,26)),"S","M","T","W","T","F","S"),"")</f>
        <v>0</v>
      </c>
      <c r="AC4" s="21">
        <f>IF(MONTH(DATE(CalYear,7,27))=7,CHOOSE(WEEKDAY(DATE(CalYear,7,27)),"S","M","T","W","T","F","S"),"")</f>
        <v>0</v>
      </c>
      <c r="AD4" s="21">
        <f>IF(MONTH(DATE(CalYear,7,28))=7,CHOOSE(WEEKDAY(DATE(CalYear,7,28)),"S","M","T","W","T","F","S"),"")</f>
        <v>0</v>
      </c>
      <c r="AE4" s="21">
        <f>IF(MONTH(DATE(CalYear,7,29))=7,CHOOSE(WEEKDAY(DATE(CalYear,7,29)),"S","M","T","W","T","F","S"),"")</f>
        <v>0</v>
      </c>
      <c r="AF4" s="21">
        <f>IF(MONTH(DATE(CalYear,7,30))=7,CHOOSE(WEEKDAY(DATE(CalYear,7,30)),"S","M","T","W","T","F","S"),"")</f>
        <v>0</v>
      </c>
      <c r="AG4" s="21">
        <f>IF(MONTH(DATE(CalYear,7,31))=7,CHOOSE(WEEKDAY(DATE(CalYear,7,31)),"S","M","T","W","T","F","S"),"")</f>
        <v>0</v>
      </c>
      <c r="AI4" s="22" t="s">
        <v>89</v>
      </c>
      <c r="AJ4" s="23" t="s">
        <v>90</v>
      </c>
      <c r="AK4" s="24" t="s">
        <v>91</v>
      </c>
      <c r="AL4" s="25" t="s">
        <v>92</v>
      </c>
      <c r="AM4" s="26" t="s">
        <v>93</v>
      </c>
    </row>
    <row r="5" spans="2:39" ht="18" customHeight="1">
      <c r="B5" s="27" t="s">
        <v>68</v>
      </c>
      <c r="C5" s="28">
        <f>IF(MONTH(DATE(CalYear,7,1))=7,1,"")</f>
        <v>0</v>
      </c>
      <c r="D5" s="28">
        <f>IF(MONTH(DATE(CalYear,7,2))=7,2,"")</f>
        <v>0</v>
      </c>
      <c r="E5" s="28">
        <f>IF(MONTH(DATE(CalYear,7,3))=7,3,"")</f>
        <v>0</v>
      </c>
      <c r="F5" s="28">
        <f>IF(MONTH(DATE(CalYear,7,4))=7,4,"")</f>
        <v>0</v>
      </c>
      <c r="G5" s="28">
        <f>IF(MONTH(DATE(CalYear,7,5))=7,5,"")</f>
        <v>0</v>
      </c>
      <c r="H5" s="28">
        <f>IF(MONTH(DATE(CalYear,7,6))=7,6,"")</f>
        <v>0</v>
      </c>
      <c r="I5" s="28">
        <f>IF(MONTH(DATE(CalYear,7,7))=7,7,"")</f>
        <v>0</v>
      </c>
      <c r="J5" s="28">
        <f>IF(MONTH(DATE(CalYear,7,8))=7,8,"")</f>
        <v>0</v>
      </c>
      <c r="K5" s="28">
        <f>IF(MONTH(DATE(CalYear,7,9))=7,9,"")</f>
        <v>0</v>
      </c>
      <c r="L5" s="28">
        <f>IF(MONTH(DATE(CalYear,7,10))=7,10,"")</f>
        <v>0</v>
      </c>
      <c r="M5" s="28">
        <f>IF(MONTH(DATE(CalYear,7,11))=7,11,"")</f>
        <v>0</v>
      </c>
      <c r="N5" s="28">
        <f>IF(MONTH(DATE(CalYear,7,12))=7,12,"")</f>
        <v>0</v>
      </c>
      <c r="O5" s="28">
        <f>IF(MONTH(DATE(CalYear,7,13))=7,13,"")</f>
        <v>0</v>
      </c>
      <c r="P5" s="28">
        <f>IF(MONTH(DATE(CalYear,7,14))=7,14,"")</f>
        <v>0</v>
      </c>
      <c r="Q5" s="28">
        <f>IF(MONTH(DATE(CalYear,7,15))=7,15,"")</f>
        <v>0</v>
      </c>
      <c r="R5" s="28">
        <f>IF(MONTH(DATE(CalYear,7,16))=7,16,"")</f>
        <v>0</v>
      </c>
      <c r="S5" s="28">
        <f>IF(MONTH(DATE(CalYear,7,17))=7,17,"")</f>
        <v>0</v>
      </c>
      <c r="T5" s="28">
        <f>IF(MONTH(DATE(CalYear,7,18))=7,18,"")</f>
        <v>0</v>
      </c>
      <c r="U5" s="28">
        <f>IF(MONTH(DATE(CalYear,7,19))=7,19,"")</f>
        <v>0</v>
      </c>
      <c r="V5" s="28">
        <f>IF(MONTH(DATE(CalYear,7,20))=7,20,"")</f>
        <v>0</v>
      </c>
      <c r="W5" s="28">
        <f>IF(MONTH(DATE(CalYear,7,21))=7,21,"")</f>
        <v>0</v>
      </c>
      <c r="X5" s="28">
        <f>IF(MONTH(DATE(CalYear,7,22))=7,22,"")</f>
        <v>0</v>
      </c>
      <c r="Y5" s="28">
        <f>IF(MONTH(DATE(CalYear,7,23))=7,23,"")</f>
        <v>0</v>
      </c>
      <c r="Z5" s="28">
        <f>IF(MONTH(DATE(CalYear,7,24))=7,24,"")</f>
        <v>0</v>
      </c>
      <c r="AA5" s="28">
        <f>IF(MONTH(DATE(CalYear,7,25))=7,25,"")</f>
        <v>0</v>
      </c>
      <c r="AB5" s="28">
        <f>IF(MONTH(DATE(CalYear,7,26))=7,26,"")</f>
        <v>0</v>
      </c>
      <c r="AC5" s="28">
        <f>IF(MONTH(DATE(CalYear,7,27))=7,27,"")</f>
        <v>0</v>
      </c>
      <c r="AD5" s="28">
        <f>IF(MONTH(DATE(CalYear,7,28))=7,28,"")</f>
        <v>0</v>
      </c>
      <c r="AE5" s="28">
        <f>IF(MONTH(DATE(CalYear,7,29))=7,29,"")</f>
        <v>0</v>
      </c>
      <c r="AF5" s="28">
        <f>IF(MONTH(DATE(CalYear,7,30))=7,30,"")</f>
        <v>0</v>
      </c>
      <c r="AG5" s="28">
        <f>IF(MONTH(DATE(CalYear,7,31))=7,31,"")</f>
        <v>0</v>
      </c>
      <c r="AI5" s="22"/>
      <c r="AJ5" s="23"/>
      <c r="AK5" s="24"/>
      <c r="AL5" s="25"/>
      <c r="AM5" s="26"/>
    </row>
    <row r="6" spans="2:39" ht="17" customHeight="1">
      <c r="B6" s="29">
        <f>IF(Summary!B6="","",Summary!B6)</f>
        <v>0</v>
      </c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  <c r="AE6" s="30"/>
      <c r="AF6" s="30"/>
      <c r="AG6" s="30"/>
      <c r="AI6" s="31">
        <f>SUMPRODUCT(COUNTIF(C6:AG6,Codes)*(Codes&lt;&gt;"")*(CodeBucket="Vacation")*CodeDays)</f>
        <v>0</v>
      </c>
      <c r="AJ6" s="32">
        <f>SUMPRODUCT(COUNTIF(C6:AG6,Codes)*(Codes&lt;&gt;"")*(CodeBucket="Sick")*CodeDays)</f>
        <v>0</v>
      </c>
      <c r="AK6" s="33">
        <f>SUMPRODUCT(COUNTIF(C6:AG6,Codes)*(Codes&lt;&gt;"")*(CodeBucket="Personal")*CodeDays)</f>
        <v>0</v>
      </c>
      <c r="AL6" s="34">
        <f>SUMPRODUCT(COUNTIF(C6:AG6,Codes)*(Codes&lt;&gt;"")*(CodeBucket="Other")*CodeDays)</f>
        <v>0</v>
      </c>
      <c r="AM6" s="35">
        <f>SUM(AI6:AL6)</f>
        <v>0</v>
      </c>
    </row>
    <row r="7" spans="2:39" ht="17" customHeight="1">
      <c r="B7" s="29">
        <f>IF(Summary!B7="","",Summary!B7)</f>
        <v>0</v>
      </c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  <c r="AB7" s="30"/>
      <c r="AC7" s="30"/>
      <c r="AD7" s="30"/>
      <c r="AE7" s="30"/>
      <c r="AF7" s="30"/>
      <c r="AG7" s="30"/>
      <c r="AI7" s="31">
        <f>SUMPRODUCT(COUNTIF(C7:AG7,Codes)*(Codes&lt;&gt;"")*(CodeBucket="Vacation")*CodeDays)</f>
        <v>0</v>
      </c>
      <c r="AJ7" s="32">
        <f>SUMPRODUCT(COUNTIF(C7:AG7,Codes)*(Codes&lt;&gt;"")*(CodeBucket="Sick")*CodeDays)</f>
        <v>0</v>
      </c>
      <c r="AK7" s="33">
        <f>SUMPRODUCT(COUNTIF(C7:AG7,Codes)*(Codes&lt;&gt;"")*(CodeBucket="Personal")*CodeDays)</f>
        <v>0</v>
      </c>
      <c r="AL7" s="34">
        <f>SUMPRODUCT(COUNTIF(C7:AG7,Codes)*(Codes&lt;&gt;"")*(CodeBucket="Other")*CodeDays)</f>
        <v>0</v>
      </c>
      <c r="AM7" s="35">
        <f>SUM(AI7:AL7)</f>
        <v>0</v>
      </c>
    </row>
    <row r="8" spans="2:39" ht="17" customHeight="1">
      <c r="B8" s="29">
        <f>IF(Summary!B8="","",Summary!B8)</f>
        <v>0</v>
      </c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30"/>
      <c r="AA8" s="30"/>
      <c r="AB8" s="30"/>
      <c r="AC8" s="30"/>
      <c r="AD8" s="30"/>
      <c r="AE8" s="30"/>
      <c r="AF8" s="30"/>
      <c r="AG8" s="30"/>
      <c r="AI8" s="31">
        <f>SUMPRODUCT(COUNTIF(C8:AG8,Codes)*(Codes&lt;&gt;"")*(CodeBucket="Vacation")*CodeDays)</f>
        <v>0</v>
      </c>
      <c r="AJ8" s="32">
        <f>SUMPRODUCT(COUNTIF(C8:AG8,Codes)*(Codes&lt;&gt;"")*(CodeBucket="Sick")*CodeDays)</f>
        <v>0</v>
      </c>
      <c r="AK8" s="33">
        <f>SUMPRODUCT(COUNTIF(C8:AG8,Codes)*(Codes&lt;&gt;"")*(CodeBucket="Personal")*CodeDays)</f>
        <v>0</v>
      </c>
      <c r="AL8" s="34">
        <f>SUMPRODUCT(COUNTIF(C8:AG8,Codes)*(Codes&lt;&gt;"")*(CodeBucket="Other")*CodeDays)</f>
        <v>0</v>
      </c>
      <c r="AM8" s="35">
        <f>SUM(AI8:AL8)</f>
        <v>0</v>
      </c>
    </row>
    <row r="9" spans="2:39" ht="17" customHeight="1">
      <c r="B9" s="29">
        <f>IF(Summary!B9="","",Summary!B9)</f>
        <v>0</v>
      </c>
      <c r="C9" s="30"/>
      <c r="D9" s="30"/>
      <c r="E9" s="30"/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  <c r="AB9" s="30"/>
      <c r="AC9" s="30"/>
      <c r="AD9" s="30"/>
      <c r="AE9" s="30"/>
      <c r="AF9" s="30"/>
      <c r="AG9" s="30"/>
      <c r="AI9" s="31">
        <f>SUMPRODUCT(COUNTIF(C9:AG9,Codes)*(Codes&lt;&gt;"")*(CodeBucket="Vacation")*CodeDays)</f>
        <v>0</v>
      </c>
      <c r="AJ9" s="32">
        <f>SUMPRODUCT(COUNTIF(C9:AG9,Codes)*(Codes&lt;&gt;"")*(CodeBucket="Sick")*CodeDays)</f>
        <v>0</v>
      </c>
      <c r="AK9" s="33">
        <f>SUMPRODUCT(COUNTIF(C9:AG9,Codes)*(Codes&lt;&gt;"")*(CodeBucket="Personal")*CodeDays)</f>
        <v>0</v>
      </c>
      <c r="AL9" s="34">
        <f>SUMPRODUCT(COUNTIF(C9:AG9,Codes)*(Codes&lt;&gt;"")*(CodeBucket="Other")*CodeDays)</f>
        <v>0</v>
      </c>
      <c r="AM9" s="35">
        <f>SUM(AI9:AL9)</f>
        <v>0</v>
      </c>
    </row>
    <row r="10" spans="2:39" ht="17" customHeight="1">
      <c r="B10" s="29">
        <f>IF(Summary!B10="","",Summary!B10)</f>
        <v>0</v>
      </c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  <c r="AA10" s="30"/>
      <c r="AB10" s="30"/>
      <c r="AC10" s="30"/>
      <c r="AD10" s="30"/>
      <c r="AE10" s="30"/>
      <c r="AF10" s="30"/>
      <c r="AG10" s="30"/>
      <c r="AI10" s="31">
        <f>SUMPRODUCT(COUNTIF(C10:AG10,Codes)*(Codes&lt;&gt;"")*(CodeBucket="Vacation")*CodeDays)</f>
        <v>0</v>
      </c>
      <c r="AJ10" s="32">
        <f>SUMPRODUCT(COUNTIF(C10:AG10,Codes)*(Codes&lt;&gt;"")*(CodeBucket="Sick")*CodeDays)</f>
        <v>0</v>
      </c>
      <c r="AK10" s="33">
        <f>SUMPRODUCT(COUNTIF(C10:AG10,Codes)*(Codes&lt;&gt;"")*(CodeBucket="Personal")*CodeDays)</f>
        <v>0</v>
      </c>
      <c r="AL10" s="34">
        <f>SUMPRODUCT(COUNTIF(C10:AG10,Codes)*(Codes&lt;&gt;"")*(CodeBucket="Other")*CodeDays)</f>
        <v>0</v>
      </c>
      <c r="AM10" s="35">
        <f>SUM(AI10:AL10)</f>
        <v>0</v>
      </c>
    </row>
    <row r="11" spans="2:39" ht="17" customHeight="1">
      <c r="B11" s="29">
        <f>IF(Summary!B11="","",Summary!B11)</f>
        <v>0</v>
      </c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  <c r="AA11" s="30"/>
      <c r="AB11" s="30"/>
      <c r="AC11" s="30"/>
      <c r="AD11" s="30"/>
      <c r="AE11" s="30"/>
      <c r="AF11" s="30"/>
      <c r="AG11" s="30"/>
      <c r="AI11" s="31">
        <f>SUMPRODUCT(COUNTIF(C11:AG11,Codes)*(Codes&lt;&gt;"")*(CodeBucket="Vacation")*CodeDays)</f>
        <v>0</v>
      </c>
      <c r="AJ11" s="32">
        <f>SUMPRODUCT(COUNTIF(C11:AG11,Codes)*(Codes&lt;&gt;"")*(CodeBucket="Sick")*CodeDays)</f>
        <v>0</v>
      </c>
      <c r="AK11" s="33">
        <f>SUMPRODUCT(COUNTIF(C11:AG11,Codes)*(Codes&lt;&gt;"")*(CodeBucket="Personal")*CodeDays)</f>
        <v>0</v>
      </c>
      <c r="AL11" s="34">
        <f>SUMPRODUCT(COUNTIF(C11:AG11,Codes)*(Codes&lt;&gt;"")*(CodeBucket="Other")*CodeDays)</f>
        <v>0</v>
      </c>
      <c r="AM11" s="35">
        <f>SUM(AI11:AL11)</f>
        <v>0</v>
      </c>
    </row>
    <row r="12" spans="2:39" ht="17" customHeight="1">
      <c r="B12" s="29">
        <f>IF(Summary!B12="","",Summary!B12)</f>
        <v>0</v>
      </c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0"/>
      <c r="S12" s="30"/>
      <c r="T12" s="30"/>
      <c r="U12" s="30"/>
      <c r="V12" s="30"/>
      <c r="W12" s="30"/>
      <c r="X12" s="30"/>
      <c r="Y12" s="30"/>
      <c r="Z12" s="30"/>
      <c r="AA12" s="30"/>
      <c r="AB12" s="30"/>
      <c r="AC12" s="30"/>
      <c r="AD12" s="30"/>
      <c r="AE12" s="30"/>
      <c r="AF12" s="30"/>
      <c r="AG12" s="30"/>
      <c r="AI12" s="31">
        <f>SUMPRODUCT(COUNTIF(C12:AG12,Codes)*(Codes&lt;&gt;"")*(CodeBucket="Vacation")*CodeDays)</f>
        <v>0</v>
      </c>
      <c r="AJ12" s="32">
        <f>SUMPRODUCT(COUNTIF(C12:AG12,Codes)*(Codes&lt;&gt;"")*(CodeBucket="Sick")*CodeDays)</f>
        <v>0</v>
      </c>
      <c r="AK12" s="33">
        <f>SUMPRODUCT(COUNTIF(C12:AG12,Codes)*(Codes&lt;&gt;"")*(CodeBucket="Personal")*CodeDays)</f>
        <v>0</v>
      </c>
      <c r="AL12" s="34">
        <f>SUMPRODUCT(COUNTIF(C12:AG12,Codes)*(Codes&lt;&gt;"")*(CodeBucket="Other")*CodeDays)</f>
        <v>0</v>
      </c>
      <c r="AM12" s="35">
        <f>SUM(AI12:AL12)</f>
        <v>0</v>
      </c>
    </row>
    <row r="13" spans="2:39" ht="17" customHeight="1">
      <c r="B13" s="29">
        <f>IF(Summary!B13="","",Summary!B13)</f>
        <v>0</v>
      </c>
      <c r="C13" s="30"/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30"/>
      <c r="T13" s="30"/>
      <c r="U13" s="30"/>
      <c r="V13" s="30"/>
      <c r="W13" s="30"/>
      <c r="X13" s="30"/>
      <c r="Y13" s="30"/>
      <c r="Z13" s="30"/>
      <c r="AA13" s="30"/>
      <c r="AB13" s="30"/>
      <c r="AC13" s="30"/>
      <c r="AD13" s="30"/>
      <c r="AE13" s="30"/>
      <c r="AF13" s="30"/>
      <c r="AG13" s="30"/>
      <c r="AI13" s="31">
        <f>SUMPRODUCT(COUNTIF(C13:AG13,Codes)*(Codes&lt;&gt;"")*(CodeBucket="Vacation")*CodeDays)</f>
        <v>0</v>
      </c>
      <c r="AJ13" s="32">
        <f>SUMPRODUCT(COUNTIF(C13:AG13,Codes)*(Codes&lt;&gt;"")*(CodeBucket="Sick")*CodeDays)</f>
        <v>0</v>
      </c>
      <c r="AK13" s="33">
        <f>SUMPRODUCT(COUNTIF(C13:AG13,Codes)*(Codes&lt;&gt;"")*(CodeBucket="Personal")*CodeDays)</f>
        <v>0</v>
      </c>
      <c r="AL13" s="34">
        <f>SUMPRODUCT(COUNTIF(C13:AG13,Codes)*(Codes&lt;&gt;"")*(CodeBucket="Other")*CodeDays)</f>
        <v>0</v>
      </c>
      <c r="AM13" s="35">
        <f>SUM(AI13:AL13)</f>
        <v>0</v>
      </c>
    </row>
    <row r="14" spans="2:39" ht="17" customHeight="1">
      <c r="B14" s="29">
        <f>IF(Summary!B14="","",Summary!B14)</f>
        <v>0</v>
      </c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30"/>
      <c r="U14" s="30"/>
      <c r="V14" s="30"/>
      <c r="W14" s="30"/>
      <c r="X14" s="30"/>
      <c r="Y14" s="30"/>
      <c r="Z14" s="30"/>
      <c r="AA14" s="30"/>
      <c r="AB14" s="30"/>
      <c r="AC14" s="30"/>
      <c r="AD14" s="30"/>
      <c r="AE14" s="30"/>
      <c r="AF14" s="30"/>
      <c r="AG14" s="30"/>
      <c r="AI14" s="31">
        <f>SUMPRODUCT(COUNTIF(C14:AG14,Codes)*(Codes&lt;&gt;"")*(CodeBucket="Vacation")*CodeDays)</f>
        <v>0</v>
      </c>
      <c r="AJ14" s="32">
        <f>SUMPRODUCT(COUNTIF(C14:AG14,Codes)*(Codes&lt;&gt;"")*(CodeBucket="Sick")*CodeDays)</f>
        <v>0</v>
      </c>
      <c r="AK14" s="33">
        <f>SUMPRODUCT(COUNTIF(C14:AG14,Codes)*(Codes&lt;&gt;"")*(CodeBucket="Personal")*CodeDays)</f>
        <v>0</v>
      </c>
      <c r="AL14" s="34">
        <f>SUMPRODUCT(COUNTIF(C14:AG14,Codes)*(Codes&lt;&gt;"")*(CodeBucket="Other")*CodeDays)</f>
        <v>0</v>
      </c>
      <c r="AM14" s="35">
        <f>SUM(AI14:AL14)</f>
        <v>0</v>
      </c>
    </row>
    <row r="15" spans="2:39" ht="17" customHeight="1">
      <c r="B15" s="29">
        <f>IF(Summary!B15="","",Summary!B15)</f>
        <v>0</v>
      </c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0"/>
      <c r="AA15" s="30"/>
      <c r="AB15" s="30"/>
      <c r="AC15" s="30"/>
      <c r="AD15" s="30"/>
      <c r="AE15" s="30"/>
      <c r="AF15" s="30"/>
      <c r="AG15" s="30"/>
      <c r="AI15" s="31">
        <f>SUMPRODUCT(COUNTIF(C15:AG15,Codes)*(Codes&lt;&gt;"")*(CodeBucket="Vacation")*CodeDays)</f>
        <v>0</v>
      </c>
      <c r="AJ15" s="32">
        <f>SUMPRODUCT(COUNTIF(C15:AG15,Codes)*(Codes&lt;&gt;"")*(CodeBucket="Sick")*CodeDays)</f>
        <v>0</v>
      </c>
      <c r="AK15" s="33">
        <f>SUMPRODUCT(COUNTIF(C15:AG15,Codes)*(Codes&lt;&gt;"")*(CodeBucket="Personal")*CodeDays)</f>
        <v>0</v>
      </c>
      <c r="AL15" s="34">
        <f>SUMPRODUCT(COUNTIF(C15:AG15,Codes)*(Codes&lt;&gt;"")*(CodeBucket="Other")*CodeDays)</f>
        <v>0</v>
      </c>
      <c r="AM15" s="35">
        <f>SUM(AI15:AL15)</f>
        <v>0</v>
      </c>
    </row>
    <row r="16" spans="2:39" ht="17" customHeight="1">
      <c r="B16" s="29">
        <f>IF(Summary!B16="","",Summary!B16)</f>
        <v>0</v>
      </c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0"/>
      <c r="R16" s="30"/>
      <c r="S16" s="30"/>
      <c r="T16" s="30"/>
      <c r="U16" s="30"/>
      <c r="V16" s="30"/>
      <c r="W16" s="30"/>
      <c r="X16" s="30"/>
      <c r="Y16" s="30"/>
      <c r="Z16" s="30"/>
      <c r="AA16" s="30"/>
      <c r="AB16" s="30"/>
      <c r="AC16" s="30"/>
      <c r="AD16" s="30"/>
      <c r="AE16" s="30"/>
      <c r="AF16" s="30"/>
      <c r="AG16" s="30"/>
      <c r="AI16" s="31">
        <f>SUMPRODUCT(COUNTIF(C16:AG16,Codes)*(Codes&lt;&gt;"")*(CodeBucket="Vacation")*CodeDays)</f>
        <v>0</v>
      </c>
      <c r="AJ16" s="32">
        <f>SUMPRODUCT(COUNTIF(C16:AG16,Codes)*(Codes&lt;&gt;"")*(CodeBucket="Sick")*CodeDays)</f>
        <v>0</v>
      </c>
      <c r="AK16" s="33">
        <f>SUMPRODUCT(COUNTIF(C16:AG16,Codes)*(Codes&lt;&gt;"")*(CodeBucket="Personal")*CodeDays)</f>
        <v>0</v>
      </c>
      <c r="AL16" s="34">
        <f>SUMPRODUCT(COUNTIF(C16:AG16,Codes)*(Codes&lt;&gt;"")*(CodeBucket="Other")*CodeDays)</f>
        <v>0</v>
      </c>
      <c r="AM16" s="35">
        <f>SUM(AI16:AL16)</f>
        <v>0</v>
      </c>
    </row>
    <row r="17" spans="2:39" ht="17" customHeight="1">
      <c r="B17" s="29">
        <f>IF(Summary!B17="","",Summary!B17)</f>
        <v>0</v>
      </c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  <c r="O17" s="30"/>
      <c r="P17" s="30"/>
      <c r="Q17" s="30"/>
      <c r="R17" s="30"/>
      <c r="S17" s="30"/>
      <c r="T17" s="30"/>
      <c r="U17" s="30"/>
      <c r="V17" s="30"/>
      <c r="W17" s="30"/>
      <c r="X17" s="30"/>
      <c r="Y17" s="30"/>
      <c r="Z17" s="30"/>
      <c r="AA17" s="30"/>
      <c r="AB17" s="30"/>
      <c r="AC17" s="30"/>
      <c r="AD17" s="30"/>
      <c r="AE17" s="30"/>
      <c r="AF17" s="30"/>
      <c r="AG17" s="30"/>
      <c r="AI17" s="31">
        <f>SUMPRODUCT(COUNTIF(C17:AG17,Codes)*(Codes&lt;&gt;"")*(CodeBucket="Vacation")*CodeDays)</f>
        <v>0</v>
      </c>
      <c r="AJ17" s="32">
        <f>SUMPRODUCT(COUNTIF(C17:AG17,Codes)*(Codes&lt;&gt;"")*(CodeBucket="Sick")*CodeDays)</f>
        <v>0</v>
      </c>
      <c r="AK17" s="33">
        <f>SUMPRODUCT(COUNTIF(C17:AG17,Codes)*(Codes&lt;&gt;"")*(CodeBucket="Personal")*CodeDays)</f>
        <v>0</v>
      </c>
      <c r="AL17" s="34">
        <f>SUMPRODUCT(COUNTIF(C17:AG17,Codes)*(Codes&lt;&gt;"")*(CodeBucket="Other")*CodeDays)</f>
        <v>0</v>
      </c>
      <c r="AM17" s="35">
        <f>SUM(AI17:AL17)</f>
        <v>0</v>
      </c>
    </row>
    <row r="18" spans="2:39" ht="17" customHeight="1">
      <c r="B18" s="29">
        <f>IF(Summary!B18="","",Summary!B18)</f>
        <v>0</v>
      </c>
      <c r="C18" s="30"/>
      <c r="D18" s="30"/>
      <c r="E18" s="30"/>
      <c r="F18" s="30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30"/>
      <c r="R18" s="30"/>
      <c r="S18" s="30"/>
      <c r="T18" s="30"/>
      <c r="U18" s="30"/>
      <c r="V18" s="30"/>
      <c r="W18" s="30"/>
      <c r="X18" s="30"/>
      <c r="Y18" s="30"/>
      <c r="Z18" s="30"/>
      <c r="AA18" s="30"/>
      <c r="AB18" s="30"/>
      <c r="AC18" s="30"/>
      <c r="AD18" s="30"/>
      <c r="AE18" s="30"/>
      <c r="AF18" s="30"/>
      <c r="AG18" s="30"/>
      <c r="AI18" s="31">
        <f>SUMPRODUCT(COUNTIF(C18:AG18,Codes)*(Codes&lt;&gt;"")*(CodeBucket="Vacation")*CodeDays)</f>
        <v>0</v>
      </c>
      <c r="AJ18" s="32">
        <f>SUMPRODUCT(COUNTIF(C18:AG18,Codes)*(Codes&lt;&gt;"")*(CodeBucket="Sick")*CodeDays)</f>
        <v>0</v>
      </c>
      <c r="AK18" s="33">
        <f>SUMPRODUCT(COUNTIF(C18:AG18,Codes)*(Codes&lt;&gt;"")*(CodeBucket="Personal")*CodeDays)</f>
        <v>0</v>
      </c>
      <c r="AL18" s="34">
        <f>SUMPRODUCT(COUNTIF(C18:AG18,Codes)*(Codes&lt;&gt;"")*(CodeBucket="Other")*CodeDays)</f>
        <v>0</v>
      </c>
      <c r="AM18" s="35">
        <f>SUM(AI18:AL18)</f>
        <v>0</v>
      </c>
    </row>
    <row r="19" spans="2:39" ht="17" customHeight="1">
      <c r="B19" s="29">
        <f>IF(Summary!B19="","",Summary!B19)</f>
        <v>0</v>
      </c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30"/>
      <c r="AE19" s="30"/>
      <c r="AF19" s="30"/>
      <c r="AG19" s="30"/>
      <c r="AI19" s="31">
        <f>SUMPRODUCT(COUNTIF(C19:AG19,Codes)*(Codes&lt;&gt;"")*(CodeBucket="Vacation")*CodeDays)</f>
        <v>0</v>
      </c>
      <c r="AJ19" s="32">
        <f>SUMPRODUCT(COUNTIF(C19:AG19,Codes)*(Codes&lt;&gt;"")*(CodeBucket="Sick")*CodeDays)</f>
        <v>0</v>
      </c>
      <c r="AK19" s="33">
        <f>SUMPRODUCT(COUNTIF(C19:AG19,Codes)*(Codes&lt;&gt;"")*(CodeBucket="Personal")*CodeDays)</f>
        <v>0</v>
      </c>
      <c r="AL19" s="34">
        <f>SUMPRODUCT(COUNTIF(C19:AG19,Codes)*(Codes&lt;&gt;"")*(CodeBucket="Other")*CodeDays)</f>
        <v>0</v>
      </c>
      <c r="AM19" s="35">
        <f>SUM(AI19:AL19)</f>
        <v>0</v>
      </c>
    </row>
    <row r="20" spans="2:39" ht="17" customHeight="1">
      <c r="B20" s="29">
        <f>IF(Summary!B20="","",Summary!B20)</f>
        <v>0</v>
      </c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0"/>
      <c r="V20" s="30"/>
      <c r="W20" s="30"/>
      <c r="X20" s="30"/>
      <c r="Y20" s="30"/>
      <c r="Z20" s="30"/>
      <c r="AA20" s="30"/>
      <c r="AB20" s="30"/>
      <c r="AC20" s="30"/>
      <c r="AD20" s="30"/>
      <c r="AE20" s="30"/>
      <c r="AF20" s="30"/>
      <c r="AG20" s="30"/>
      <c r="AI20" s="31">
        <f>SUMPRODUCT(COUNTIF(C20:AG20,Codes)*(Codes&lt;&gt;"")*(CodeBucket="Vacation")*CodeDays)</f>
        <v>0</v>
      </c>
      <c r="AJ20" s="32">
        <f>SUMPRODUCT(COUNTIF(C20:AG20,Codes)*(Codes&lt;&gt;"")*(CodeBucket="Sick")*CodeDays)</f>
        <v>0</v>
      </c>
      <c r="AK20" s="33">
        <f>SUMPRODUCT(COUNTIF(C20:AG20,Codes)*(Codes&lt;&gt;"")*(CodeBucket="Personal")*CodeDays)</f>
        <v>0</v>
      </c>
      <c r="AL20" s="34">
        <f>SUMPRODUCT(COUNTIF(C20:AG20,Codes)*(Codes&lt;&gt;"")*(CodeBucket="Other")*CodeDays)</f>
        <v>0</v>
      </c>
      <c r="AM20" s="35">
        <f>SUM(AI20:AL20)</f>
        <v>0</v>
      </c>
    </row>
    <row r="21" spans="2:39" ht="17" customHeight="1">
      <c r="B21" s="29">
        <f>IF(Summary!B21="","",Summary!B21)</f>
        <v>0</v>
      </c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0"/>
      <c r="P21" s="30"/>
      <c r="Q21" s="30"/>
      <c r="R21" s="30"/>
      <c r="S21" s="30"/>
      <c r="T21" s="30"/>
      <c r="U21" s="30"/>
      <c r="V21" s="30"/>
      <c r="W21" s="30"/>
      <c r="X21" s="30"/>
      <c r="Y21" s="30"/>
      <c r="Z21" s="30"/>
      <c r="AA21" s="30"/>
      <c r="AB21" s="30"/>
      <c r="AC21" s="30"/>
      <c r="AD21" s="30"/>
      <c r="AE21" s="30"/>
      <c r="AF21" s="30"/>
      <c r="AG21" s="30"/>
      <c r="AI21" s="31">
        <f>SUMPRODUCT(COUNTIF(C21:AG21,Codes)*(Codes&lt;&gt;"")*(CodeBucket="Vacation")*CodeDays)</f>
        <v>0</v>
      </c>
      <c r="AJ21" s="32">
        <f>SUMPRODUCT(COUNTIF(C21:AG21,Codes)*(Codes&lt;&gt;"")*(CodeBucket="Sick")*CodeDays)</f>
        <v>0</v>
      </c>
      <c r="AK21" s="33">
        <f>SUMPRODUCT(COUNTIF(C21:AG21,Codes)*(Codes&lt;&gt;"")*(CodeBucket="Personal")*CodeDays)</f>
        <v>0</v>
      </c>
      <c r="AL21" s="34">
        <f>SUMPRODUCT(COUNTIF(C21:AG21,Codes)*(Codes&lt;&gt;"")*(CodeBucket="Other")*CodeDays)</f>
        <v>0</v>
      </c>
      <c r="AM21" s="35">
        <f>SUM(AI21:AL21)</f>
        <v>0</v>
      </c>
    </row>
    <row r="22" spans="2:39" ht="17" customHeight="1">
      <c r="B22" s="29">
        <f>IF(Summary!B22="","",Summary!B22)</f>
        <v>0</v>
      </c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0"/>
      <c r="W22" s="30"/>
      <c r="X22" s="30"/>
      <c r="Y22" s="30"/>
      <c r="Z22" s="30"/>
      <c r="AA22" s="30"/>
      <c r="AB22" s="30"/>
      <c r="AC22" s="30"/>
      <c r="AD22" s="30"/>
      <c r="AE22" s="30"/>
      <c r="AF22" s="30"/>
      <c r="AG22" s="30"/>
      <c r="AI22" s="31">
        <f>SUMPRODUCT(COUNTIF(C22:AG22,Codes)*(Codes&lt;&gt;"")*(CodeBucket="Vacation")*CodeDays)</f>
        <v>0</v>
      </c>
      <c r="AJ22" s="32">
        <f>SUMPRODUCT(COUNTIF(C22:AG22,Codes)*(Codes&lt;&gt;"")*(CodeBucket="Sick")*CodeDays)</f>
        <v>0</v>
      </c>
      <c r="AK22" s="33">
        <f>SUMPRODUCT(COUNTIF(C22:AG22,Codes)*(Codes&lt;&gt;"")*(CodeBucket="Personal")*CodeDays)</f>
        <v>0</v>
      </c>
      <c r="AL22" s="34">
        <f>SUMPRODUCT(COUNTIF(C22:AG22,Codes)*(Codes&lt;&gt;"")*(CodeBucket="Other")*CodeDays)</f>
        <v>0</v>
      </c>
      <c r="AM22" s="35">
        <f>SUM(AI22:AL22)</f>
        <v>0</v>
      </c>
    </row>
    <row r="23" spans="2:39" ht="17" customHeight="1">
      <c r="B23" s="29">
        <f>IF(Summary!B23="","",Summary!B23)</f>
        <v>0</v>
      </c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30"/>
      <c r="S23" s="30"/>
      <c r="T23" s="30"/>
      <c r="U23" s="30"/>
      <c r="V23" s="30"/>
      <c r="W23" s="30"/>
      <c r="X23" s="30"/>
      <c r="Y23" s="30"/>
      <c r="Z23" s="30"/>
      <c r="AA23" s="30"/>
      <c r="AB23" s="30"/>
      <c r="AC23" s="30"/>
      <c r="AD23" s="30"/>
      <c r="AE23" s="30"/>
      <c r="AF23" s="30"/>
      <c r="AG23" s="30"/>
      <c r="AI23" s="31">
        <f>SUMPRODUCT(COUNTIF(C23:AG23,Codes)*(Codes&lt;&gt;"")*(CodeBucket="Vacation")*CodeDays)</f>
        <v>0</v>
      </c>
      <c r="AJ23" s="32">
        <f>SUMPRODUCT(COUNTIF(C23:AG23,Codes)*(Codes&lt;&gt;"")*(CodeBucket="Sick")*CodeDays)</f>
        <v>0</v>
      </c>
      <c r="AK23" s="33">
        <f>SUMPRODUCT(COUNTIF(C23:AG23,Codes)*(Codes&lt;&gt;"")*(CodeBucket="Personal")*CodeDays)</f>
        <v>0</v>
      </c>
      <c r="AL23" s="34">
        <f>SUMPRODUCT(COUNTIF(C23:AG23,Codes)*(Codes&lt;&gt;"")*(CodeBucket="Other")*CodeDays)</f>
        <v>0</v>
      </c>
      <c r="AM23" s="35">
        <f>SUM(AI23:AL23)</f>
        <v>0</v>
      </c>
    </row>
    <row r="24" spans="2:39" ht="17" customHeight="1">
      <c r="B24" s="29">
        <f>IF(Summary!B24="","",Summary!B24)</f>
        <v>0</v>
      </c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30"/>
      <c r="S24" s="30"/>
      <c r="T24" s="30"/>
      <c r="U24" s="30"/>
      <c r="V24" s="30"/>
      <c r="W24" s="30"/>
      <c r="X24" s="30"/>
      <c r="Y24" s="30"/>
      <c r="Z24" s="30"/>
      <c r="AA24" s="30"/>
      <c r="AB24" s="30"/>
      <c r="AC24" s="30"/>
      <c r="AD24" s="30"/>
      <c r="AE24" s="30"/>
      <c r="AF24" s="30"/>
      <c r="AG24" s="30"/>
      <c r="AI24" s="31">
        <f>SUMPRODUCT(COUNTIF(C24:AG24,Codes)*(Codes&lt;&gt;"")*(CodeBucket="Vacation")*CodeDays)</f>
        <v>0</v>
      </c>
      <c r="AJ24" s="32">
        <f>SUMPRODUCT(COUNTIF(C24:AG24,Codes)*(Codes&lt;&gt;"")*(CodeBucket="Sick")*CodeDays)</f>
        <v>0</v>
      </c>
      <c r="AK24" s="33">
        <f>SUMPRODUCT(COUNTIF(C24:AG24,Codes)*(Codes&lt;&gt;"")*(CodeBucket="Personal")*CodeDays)</f>
        <v>0</v>
      </c>
      <c r="AL24" s="34">
        <f>SUMPRODUCT(COUNTIF(C24:AG24,Codes)*(Codes&lt;&gt;"")*(CodeBucket="Other")*CodeDays)</f>
        <v>0</v>
      </c>
      <c r="AM24" s="35">
        <f>SUM(AI24:AL24)</f>
        <v>0</v>
      </c>
    </row>
    <row r="25" spans="2:39" ht="17" customHeight="1">
      <c r="B25" s="29">
        <f>IF(Summary!B25="","",Summary!B25)</f>
        <v>0</v>
      </c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I25" s="31">
        <f>SUMPRODUCT(COUNTIF(C25:AG25,Codes)*(Codes&lt;&gt;"")*(CodeBucket="Vacation")*CodeDays)</f>
        <v>0</v>
      </c>
      <c r="AJ25" s="32">
        <f>SUMPRODUCT(COUNTIF(C25:AG25,Codes)*(Codes&lt;&gt;"")*(CodeBucket="Sick")*CodeDays)</f>
        <v>0</v>
      </c>
      <c r="AK25" s="33">
        <f>SUMPRODUCT(COUNTIF(C25:AG25,Codes)*(Codes&lt;&gt;"")*(CodeBucket="Personal")*CodeDays)</f>
        <v>0</v>
      </c>
      <c r="AL25" s="34">
        <f>SUMPRODUCT(COUNTIF(C25:AG25,Codes)*(Codes&lt;&gt;"")*(CodeBucket="Other")*CodeDays)</f>
        <v>0</v>
      </c>
      <c r="AM25" s="35">
        <f>SUM(AI25:AL25)</f>
        <v>0</v>
      </c>
    </row>
    <row r="26" spans="2:39" ht="17" customHeight="1">
      <c r="B26" s="29">
        <f>IF(Summary!B26="","",Summary!B26)</f>
        <v>0</v>
      </c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I26" s="31">
        <f>SUMPRODUCT(COUNTIF(C26:AG26,Codes)*(Codes&lt;&gt;"")*(CodeBucket="Vacation")*CodeDays)</f>
        <v>0</v>
      </c>
      <c r="AJ26" s="32">
        <f>SUMPRODUCT(COUNTIF(C26:AG26,Codes)*(Codes&lt;&gt;"")*(CodeBucket="Sick")*CodeDays)</f>
        <v>0</v>
      </c>
      <c r="AK26" s="33">
        <f>SUMPRODUCT(COUNTIF(C26:AG26,Codes)*(Codes&lt;&gt;"")*(CodeBucket="Personal")*CodeDays)</f>
        <v>0</v>
      </c>
      <c r="AL26" s="34">
        <f>SUMPRODUCT(COUNTIF(C26:AG26,Codes)*(Codes&lt;&gt;"")*(CodeBucket="Other")*CodeDays)</f>
        <v>0</v>
      </c>
      <c r="AM26" s="35">
        <f>SUM(AI26:AL26)</f>
        <v>0</v>
      </c>
    </row>
    <row r="27" spans="2:39" ht="17" customHeight="1">
      <c r="B27" s="29">
        <f>IF(Summary!B27="","",Summary!B27)</f>
        <v>0</v>
      </c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  <c r="AD27" s="30"/>
      <c r="AE27" s="30"/>
      <c r="AF27" s="30"/>
      <c r="AG27" s="30"/>
      <c r="AI27" s="31">
        <f>SUMPRODUCT(COUNTIF(C27:AG27,Codes)*(Codes&lt;&gt;"")*(CodeBucket="Vacation")*CodeDays)</f>
        <v>0</v>
      </c>
      <c r="AJ27" s="32">
        <f>SUMPRODUCT(COUNTIF(C27:AG27,Codes)*(Codes&lt;&gt;"")*(CodeBucket="Sick")*CodeDays)</f>
        <v>0</v>
      </c>
      <c r="AK27" s="33">
        <f>SUMPRODUCT(COUNTIF(C27:AG27,Codes)*(Codes&lt;&gt;"")*(CodeBucket="Personal")*CodeDays)</f>
        <v>0</v>
      </c>
      <c r="AL27" s="34">
        <f>SUMPRODUCT(COUNTIF(C27:AG27,Codes)*(Codes&lt;&gt;"")*(CodeBucket="Other")*CodeDays)</f>
        <v>0</v>
      </c>
      <c r="AM27" s="35">
        <f>SUM(AI27:AL27)</f>
        <v>0</v>
      </c>
    </row>
    <row r="28" spans="2:39" ht="17" customHeight="1">
      <c r="B28" s="29">
        <f>IF(Summary!B28="","",Summary!B28)</f>
        <v>0</v>
      </c>
      <c r="C28" s="30"/>
      <c r="D28" s="30"/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0"/>
      <c r="P28" s="30"/>
      <c r="Q28" s="30"/>
      <c r="R28" s="30"/>
      <c r="S28" s="30"/>
      <c r="T28" s="30"/>
      <c r="U28" s="30"/>
      <c r="V28" s="30"/>
      <c r="W28" s="30"/>
      <c r="X28" s="30"/>
      <c r="Y28" s="30"/>
      <c r="Z28" s="30"/>
      <c r="AA28" s="30"/>
      <c r="AB28" s="30"/>
      <c r="AC28" s="30"/>
      <c r="AD28" s="30"/>
      <c r="AE28" s="30"/>
      <c r="AF28" s="30"/>
      <c r="AG28" s="30"/>
      <c r="AI28" s="31">
        <f>SUMPRODUCT(COUNTIF(C28:AG28,Codes)*(Codes&lt;&gt;"")*(CodeBucket="Vacation")*CodeDays)</f>
        <v>0</v>
      </c>
      <c r="AJ28" s="32">
        <f>SUMPRODUCT(COUNTIF(C28:AG28,Codes)*(Codes&lt;&gt;"")*(CodeBucket="Sick")*CodeDays)</f>
        <v>0</v>
      </c>
      <c r="AK28" s="33">
        <f>SUMPRODUCT(COUNTIF(C28:AG28,Codes)*(Codes&lt;&gt;"")*(CodeBucket="Personal")*CodeDays)</f>
        <v>0</v>
      </c>
      <c r="AL28" s="34">
        <f>SUMPRODUCT(COUNTIF(C28:AG28,Codes)*(Codes&lt;&gt;"")*(CodeBucket="Other")*CodeDays)</f>
        <v>0</v>
      </c>
      <c r="AM28" s="35">
        <f>SUM(AI28:AL28)</f>
        <v>0</v>
      </c>
    </row>
    <row r="29" spans="2:39" ht="17" customHeight="1">
      <c r="B29" s="29">
        <f>IF(Summary!B29="","",Summary!B29)</f>
        <v>0</v>
      </c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30"/>
      <c r="AD29" s="30"/>
      <c r="AE29" s="30"/>
      <c r="AF29" s="30"/>
      <c r="AG29" s="30"/>
      <c r="AI29" s="31">
        <f>SUMPRODUCT(COUNTIF(C29:AG29,Codes)*(Codes&lt;&gt;"")*(CodeBucket="Vacation")*CodeDays)</f>
        <v>0</v>
      </c>
      <c r="AJ29" s="32">
        <f>SUMPRODUCT(COUNTIF(C29:AG29,Codes)*(Codes&lt;&gt;"")*(CodeBucket="Sick")*CodeDays)</f>
        <v>0</v>
      </c>
      <c r="AK29" s="33">
        <f>SUMPRODUCT(COUNTIF(C29:AG29,Codes)*(Codes&lt;&gt;"")*(CodeBucket="Personal")*CodeDays)</f>
        <v>0</v>
      </c>
      <c r="AL29" s="34">
        <f>SUMPRODUCT(COUNTIF(C29:AG29,Codes)*(Codes&lt;&gt;"")*(CodeBucket="Other")*CodeDays)</f>
        <v>0</v>
      </c>
      <c r="AM29" s="35">
        <f>SUM(AI29:AL29)</f>
        <v>0</v>
      </c>
    </row>
    <row r="30" spans="2:39" ht="17" customHeight="1">
      <c r="B30" s="29">
        <f>IF(Summary!B30="","",Summary!B30)</f>
        <v>0</v>
      </c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  <c r="AF30" s="30"/>
      <c r="AG30" s="30"/>
      <c r="AI30" s="31">
        <f>SUMPRODUCT(COUNTIF(C30:AG30,Codes)*(Codes&lt;&gt;"")*(CodeBucket="Vacation")*CodeDays)</f>
        <v>0</v>
      </c>
      <c r="AJ30" s="32">
        <f>SUMPRODUCT(COUNTIF(C30:AG30,Codes)*(Codes&lt;&gt;"")*(CodeBucket="Sick")*CodeDays)</f>
        <v>0</v>
      </c>
      <c r="AK30" s="33">
        <f>SUMPRODUCT(COUNTIF(C30:AG30,Codes)*(Codes&lt;&gt;"")*(CodeBucket="Personal")*CodeDays)</f>
        <v>0</v>
      </c>
      <c r="AL30" s="34">
        <f>SUMPRODUCT(COUNTIF(C30:AG30,Codes)*(Codes&lt;&gt;"")*(CodeBucket="Other")*CodeDays)</f>
        <v>0</v>
      </c>
      <c r="AM30" s="35">
        <f>SUM(AI30:AL30)</f>
        <v>0</v>
      </c>
    </row>
    <row r="31" spans="2:39" ht="16" customHeight="1">
      <c r="B31" s="36" t="s">
        <v>94</v>
      </c>
      <c r="C31" s="37">
        <f>IF(COUNTA(C6:C30)=0,"",COUNTA(C6:C30))</f>
        <v>0</v>
      </c>
      <c r="D31" s="37">
        <f>IF(COUNTA(D6:D30)=0,"",COUNTA(D6:D30))</f>
        <v>0</v>
      </c>
      <c r="E31" s="37">
        <f>IF(COUNTA(E6:E30)=0,"",COUNTA(E6:E30))</f>
        <v>0</v>
      </c>
      <c r="F31" s="37">
        <f>IF(COUNTA(F6:F30)=0,"",COUNTA(F6:F30))</f>
        <v>0</v>
      </c>
      <c r="G31" s="37">
        <f>IF(COUNTA(G6:G30)=0,"",COUNTA(G6:G30))</f>
        <v>0</v>
      </c>
      <c r="H31" s="37">
        <f>IF(COUNTA(H6:H30)=0,"",COUNTA(H6:H30))</f>
        <v>0</v>
      </c>
      <c r="I31" s="37">
        <f>IF(COUNTA(I6:I30)=0,"",COUNTA(I6:I30))</f>
        <v>0</v>
      </c>
      <c r="J31" s="37">
        <f>IF(COUNTA(J6:J30)=0,"",COUNTA(J6:J30))</f>
        <v>0</v>
      </c>
      <c r="K31" s="37">
        <f>IF(COUNTA(K6:K30)=0,"",COUNTA(K6:K30))</f>
        <v>0</v>
      </c>
      <c r="L31" s="37">
        <f>IF(COUNTA(L6:L30)=0,"",COUNTA(L6:L30))</f>
        <v>0</v>
      </c>
      <c r="M31" s="37">
        <f>IF(COUNTA(M6:M30)=0,"",COUNTA(M6:M30))</f>
        <v>0</v>
      </c>
      <c r="N31" s="37">
        <f>IF(COUNTA(N6:N30)=0,"",COUNTA(N6:N30))</f>
        <v>0</v>
      </c>
      <c r="O31" s="37">
        <f>IF(COUNTA(O6:O30)=0,"",COUNTA(O6:O30))</f>
        <v>0</v>
      </c>
      <c r="P31" s="37">
        <f>IF(COUNTA(P6:P30)=0,"",COUNTA(P6:P30))</f>
        <v>0</v>
      </c>
      <c r="Q31" s="37">
        <f>IF(COUNTA(Q6:Q30)=0,"",COUNTA(Q6:Q30))</f>
        <v>0</v>
      </c>
      <c r="R31" s="37">
        <f>IF(COUNTA(R6:R30)=0,"",COUNTA(R6:R30))</f>
        <v>0</v>
      </c>
      <c r="S31" s="37">
        <f>IF(COUNTA(S6:S30)=0,"",COUNTA(S6:S30))</f>
        <v>0</v>
      </c>
      <c r="T31" s="37">
        <f>IF(COUNTA(T6:T30)=0,"",COUNTA(T6:T30))</f>
        <v>0</v>
      </c>
      <c r="U31" s="37">
        <f>IF(COUNTA(U6:U30)=0,"",COUNTA(U6:U30))</f>
        <v>0</v>
      </c>
      <c r="V31" s="37">
        <f>IF(COUNTA(V6:V30)=0,"",COUNTA(V6:V30))</f>
        <v>0</v>
      </c>
      <c r="W31" s="37">
        <f>IF(COUNTA(W6:W30)=0,"",COUNTA(W6:W30))</f>
        <v>0</v>
      </c>
      <c r="X31" s="37">
        <f>IF(COUNTA(X6:X30)=0,"",COUNTA(X6:X30))</f>
        <v>0</v>
      </c>
      <c r="Y31" s="37">
        <f>IF(COUNTA(Y6:Y30)=0,"",COUNTA(Y6:Y30))</f>
        <v>0</v>
      </c>
      <c r="Z31" s="37">
        <f>IF(COUNTA(Z6:Z30)=0,"",COUNTA(Z6:Z30))</f>
        <v>0</v>
      </c>
      <c r="AA31" s="37">
        <f>IF(COUNTA(AA6:AA30)=0,"",COUNTA(AA6:AA30))</f>
        <v>0</v>
      </c>
      <c r="AB31" s="37">
        <f>IF(COUNTA(AB6:AB30)=0,"",COUNTA(AB6:AB30))</f>
        <v>0</v>
      </c>
      <c r="AC31" s="37">
        <f>IF(COUNTA(AC6:AC30)=0,"",COUNTA(AC6:AC30))</f>
        <v>0</v>
      </c>
      <c r="AD31" s="37">
        <f>IF(COUNTA(AD6:AD30)=0,"",COUNTA(AD6:AD30))</f>
        <v>0</v>
      </c>
      <c r="AE31" s="37">
        <f>IF(COUNTA(AE6:AE30)=0,"",COUNTA(AE6:AE30))</f>
        <v>0</v>
      </c>
      <c r="AF31" s="37">
        <f>IF(COUNTA(AF6:AF30)=0,"",COUNTA(AF6:AF30))</f>
        <v>0</v>
      </c>
      <c r="AG31" s="37">
        <f>IF(COUNTA(AG6:AG30)=0,"",COUNTA(AG6:AG30))</f>
        <v>0</v>
      </c>
    </row>
    <row r="33" spans="2:39">
      <c r="B33" s="38" t="s">
        <v>95</v>
      </c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8"/>
      <c r="AG33" s="38"/>
      <c r="AH33" s="38"/>
      <c r="AI33" s="38"/>
      <c r="AJ33" s="38"/>
      <c r="AK33" s="38"/>
      <c r="AL33" s="38"/>
      <c r="AM33" s="38"/>
    </row>
  </sheetData>
  <mergeCells count="9">
    <mergeCell ref="B2:I2"/>
    <mergeCell ref="J2:N2"/>
    <mergeCell ref="P2:AM2"/>
    <mergeCell ref="AI4:AI5"/>
    <mergeCell ref="AJ4:AJ5"/>
    <mergeCell ref="AK4:AK5"/>
    <mergeCell ref="AL4:AL5"/>
    <mergeCell ref="AM4:AM5"/>
    <mergeCell ref="B33:AM33"/>
  </mergeCells>
  <conditionalFormatting sqref="C4:AG5">
    <cfRule type="expression" dxfId="7" priority="8">
      <formula>AND(MONTH(DATE(CalYear,7,COLUMN()-2))=7,COUNTIFS(INDIRECT("Holidays!$C$6:$C$60"),DATE(CalYear,7,COLUMN()-2),INDIRECT("Holidays!$D$6:$D$60"),"Holiday")&gt;0)</formula>
    </cfRule>
  </conditionalFormatting>
  <conditionalFormatting sqref="C6:AG30">
    <cfRule type="expression" dxfId="0" priority="1" stopIfTrue="1">
      <formula>MONTH(DATE(CalYear,7,COLUMN()-2))&lt;&gt;7</formula>
    </cfRule>
    <cfRule type="expression" dxfId="1" priority="2" stopIfTrue="1">
      <formula>AND(C6&lt;&gt;"",COUNTIFS(INDIRECT("Setup!$B$9:$B$22"),C6,INDIRECT("Setup!$E$9:$E$22"),"Vacation")&gt;0)</formula>
    </cfRule>
    <cfRule type="expression" dxfId="2" priority="3" stopIfTrue="1">
      <formula>AND(C6&lt;&gt;"",COUNTIFS(INDIRECT("Setup!$B$9:$B$22"),C6,INDIRECT("Setup!$E$9:$E$22"),"Sick")&gt;0)</formula>
    </cfRule>
    <cfRule type="expression" dxfId="3" priority="4" stopIfTrue="1">
      <formula>AND(C6&lt;&gt;"",COUNTIFS(INDIRECT("Setup!$B$9:$B$22"),C6,INDIRECT("Setup!$E$9:$E$22"),"Personal")&gt;0)</formula>
    </cfRule>
    <cfRule type="expression" dxfId="4" priority="5" stopIfTrue="1">
      <formula>AND(C6&lt;&gt;"",COUNTIFS(INDIRECT("Setup!$B$9:$B$22"),C6,INDIRECT("Setup!$E$9:$E$22"),"Other")&gt;0)</formula>
    </cfRule>
    <cfRule type="expression" dxfId="5" priority="6" stopIfTrue="1">
      <formula>COUNTIFS(INDIRECT("Holidays!$C$6:$C$60"),DATE(CalYear,7,COLUMN()-2),INDIRECT("Holidays!$D$6:$D$60"),"Holiday")&gt;0</formula>
    </cfRule>
    <cfRule type="expression" dxfId="6" priority="7" stopIfTrue="1">
      <formula>OR(WEEKDAY(DATE(CalYear,7,COLUMN()-2))=1,WEEKDAY(DATE(CalYear,7,COLUMN()-2))=7)</formula>
    </cfRule>
  </conditionalFormatting>
  <dataValidations count="1">
    <dataValidation type="list" errorStyle="warning" allowBlank="1" showInputMessage="1" showErrorMessage="1" error="Not a code from the Setup tab (it won't be counted)." sqref="C6:AG30">
      <formula1>Codes</formula1>
    </dataValidation>
  </dataValidations>
  <printOptions horizontalCentered="1"/>
  <pageMargins left="0.3" right="0.3" top="0.3" bottom="0.3" header="0.3" footer="0.3"/>
  <pageSetup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2:AM33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/>
    </sheetView>
  </sheetViews>
  <sheetFormatPr defaultRowHeight="15"/>
  <cols>
    <col min="1" max="1" width="1.7109375" customWidth="1"/>
    <col min="2" max="2" width="18.7109375" customWidth="1"/>
    <col min="3" max="33" width="3.85546875" customWidth="1"/>
    <col min="34" max="34" width="1.7109375" customWidth="1"/>
    <col min="35" max="38" width="5.7109375" customWidth="1"/>
    <col min="39" max="39" width="6.28515625" customWidth="1"/>
  </cols>
  <sheetData>
    <row r="2" spans="2:39" ht="34" customHeight="1">
      <c r="B2" s="1" t="s">
        <v>102</v>
      </c>
      <c r="C2" s="1"/>
      <c r="D2" s="1"/>
      <c r="E2" s="1"/>
      <c r="F2" s="1"/>
      <c r="G2" s="1"/>
      <c r="H2" s="1"/>
      <c r="I2" s="1"/>
      <c r="J2" s="18">
        <f>CalYear</f>
        <v>0</v>
      </c>
      <c r="K2" s="18"/>
      <c r="L2" s="18"/>
      <c r="M2" s="18"/>
      <c r="N2" s="18"/>
      <c r="P2" s="19">
        <f>"Codes: "&amp;Setup!B9&amp;" "&amp;Setup!C9&amp;" · "&amp;Setup!B10&amp;" "&amp;Setup!C10&amp;" · "&amp;Setup!B11&amp;" "&amp;Setup!C11&amp;" · "&amp;Setup!B13&amp;" "&amp;Setup!C13&amp;" · "&amp;Setup!B15&amp;" "&amp;Setup!C15&amp;"   (full list on Setup)"</f>
        <v>0</v>
      </c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</row>
    <row r="4" spans="2:39" ht="14" customHeight="1">
      <c r="B4" s="20"/>
      <c r="C4" s="21">
        <f>IF(MONTH(DATE(CalYear,8,1))=8,CHOOSE(WEEKDAY(DATE(CalYear,8,1)),"S","M","T","W","T","F","S"),"")</f>
        <v>0</v>
      </c>
      <c r="D4" s="21">
        <f>IF(MONTH(DATE(CalYear,8,2))=8,CHOOSE(WEEKDAY(DATE(CalYear,8,2)),"S","M","T","W","T","F","S"),"")</f>
        <v>0</v>
      </c>
      <c r="E4" s="21">
        <f>IF(MONTH(DATE(CalYear,8,3))=8,CHOOSE(WEEKDAY(DATE(CalYear,8,3)),"S","M","T","W","T","F","S"),"")</f>
        <v>0</v>
      </c>
      <c r="F4" s="21">
        <f>IF(MONTH(DATE(CalYear,8,4))=8,CHOOSE(WEEKDAY(DATE(CalYear,8,4)),"S","M","T","W","T","F","S"),"")</f>
        <v>0</v>
      </c>
      <c r="G4" s="21">
        <f>IF(MONTH(DATE(CalYear,8,5))=8,CHOOSE(WEEKDAY(DATE(CalYear,8,5)),"S","M","T","W","T","F","S"),"")</f>
        <v>0</v>
      </c>
      <c r="H4" s="21">
        <f>IF(MONTH(DATE(CalYear,8,6))=8,CHOOSE(WEEKDAY(DATE(CalYear,8,6)),"S","M","T","W","T","F","S"),"")</f>
        <v>0</v>
      </c>
      <c r="I4" s="21">
        <f>IF(MONTH(DATE(CalYear,8,7))=8,CHOOSE(WEEKDAY(DATE(CalYear,8,7)),"S","M","T","W","T","F","S"),"")</f>
        <v>0</v>
      </c>
      <c r="J4" s="21">
        <f>IF(MONTH(DATE(CalYear,8,8))=8,CHOOSE(WEEKDAY(DATE(CalYear,8,8)),"S","M","T","W","T","F","S"),"")</f>
        <v>0</v>
      </c>
      <c r="K4" s="21">
        <f>IF(MONTH(DATE(CalYear,8,9))=8,CHOOSE(WEEKDAY(DATE(CalYear,8,9)),"S","M","T","W","T","F","S"),"")</f>
        <v>0</v>
      </c>
      <c r="L4" s="21">
        <f>IF(MONTH(DATE(CalYear,8,10))=8,CHOOSE(WEEKDAY(DATE(CalYear,8,10)),"S","M","T","W","T","F","S"),"")</f>
        <v>0</v>
      </c>
      <c r="M4" s="21">
        <f>IF(MONTH(DATE(CalYear,8,11))=8,CHOOSE(WEEKDAY(DATE(CalYear,8,11)),"S","M","T","W","T","F","S"),"")</f>
        <v>0</v>
      </c>
      <c r="N4" s="21">
        <f>IF(MONTH(DATE(CalYear,8,12))=8,CHOOSE(WEEKDAY(DATE(CalYear,8,12)),"S","M","T","W","T","F","S"),"")</f>
        <v>0</v>
      </c>
      <c r="O4" s="21">
        <f>IF(MONTH(DATE(CalYear,8,13))=8,CHOOSE(WEEKDAY(DATE(CalYear,8,13)),"S","M","T","W","T","F","S"),"")</f>
        <v>0</v>
      </c>
      <c r="P4" s="21">
        <f>IF(MONTH(DATE(CalYear,8,14))=8,CHOOSE(WEEKDAY(DATE(CalYear,8,14)),"S","M","T","W","T","F","S"),"")</f>
        <v>0</v>
      </c>
      <c r="Q4" s="21">
        <f>IF(MONTH(DATE(CalYear,8,15))=8,CHOOSE(WEEKDAY(DATE(CalYear,8,15)),"S","M","T","W","T","F","S"),"")</f>
        <v>0</v>
      </c>
      <c r="R4" s="21">
        <f>IF(MONTH(DATE(CalYear,8,16))=8,CHOOSE(WEEKDAY(DATE(CalYear,8,16)),"S","M","T","W","T","F","S"),"")</f>
        <v>0</v>
      </c>
      <c r="S4" s="21">
        <f>IF(MONTH(DATE(CalYear,8,17))=8,CHOOSE(WEEKDAY(DATE(CalYear,8,17)),"S","M","T","W","T","F","S"),"")</f>
        <v>0</v>
      </c>
      <c r="T4" s="21">
        <f>IF(MONTH(DATE(CalYear,8,18))=8,CHOOSE(WEEKDAY(DATE(CalYear,8,18)),"S","M","T","W","T","F","S"),"")</f>
        <v>0</v>
      </c>
      <c r="U4" s="21">
        <f>IF(MONTH(DATE(CalYear,8,19))=8,CHOOSE(WEEKDAY(DATE(CalYear,8,19)),"S","M","T","W","T","F","S"),"")</f>
        <v>0</v>
      </c>
      <c r="V4" s="21">
        <f>IF(MONTH(DATE(CalYear,8,20))=8,CHOOSE(WEEKDAY(DATE(CalYear,8,20)),"S","M","T","W","T","F","S"),"")</f>
        <v>0</v>
      </c>
      <c r="W4" s="21">
        <f>IF(MONTH(DATE(CalYear,8,21))=8,CHOOSE(WEEKDAY(DATE(CalYear,8,21)),"S","M","T","W","T","F","S"),"")</f>
        <v>0</v>
      </c>
      <c r="X4" s="21">
        <f>IF(MONTH(DATE(CalYear,8,22))=8,CHOOSE(WEEKDAY(DATE(CalYear,8,22)),"S","M","T","W","T","F","S"),"")</f>
        <v>0</v>
      </c>
      <c r="Y4" s="21">
        <f>IF(MONTH(DATE(CalYear,8,23))=8,CHOOSE(WEEKDAY(DATE(CalYear,8,23)),"S","M","T","W","T","F","S"),"")</f>
        <v>0</v>
      </c>
      <c r="Z4" s="21">
        <f>IF(MONTH(DATE(CalYear,8,24))=8,CHOOSE(WEEKDAY(DATE(CalYear,8,24)),"S","M","T","W","T","F","S"),"")</f>
        <v>0</v>
      </c>
      <c r="AA4" s="21">
        <f>IF(MONTH(DATE(CalYear,8,25))=8,CHOOSE(WEEKDAY(DATE(CalYear,8,25)),"S","M","T","W","T","F","S"),"")</f>
        <v>0</v>
      </c>
      <c r="AB4" s="21">
        <f>IF(MONTH(DATE(CalYear,8,26))=8,CHOOSE(WEEKDAY(DATE(CalYear,8,26)),"S","M","T","W","T","F","S"),"")</f>
        <v>0</v>
      </c>
      <c r="AC4" s="21">
        <f>IF(MONTH(DATE(CalYear,8,27))=8,CHOOSE(WEEKDAY(DATE(CalYear,8,27)),"S","M","T","W","T","F","S"),"")</f>
        <v>0</v>
      </c>
      <c r="AD4" s="21">
        <f>IF(MONTH(DATE(CalYear,8,28))=8,CHOOSE(WEEKDAY(DATE(CalYear,8,28)),"S","M","T","W","T","F","S"),"")</f>
        <v>0</v>
      </c>
      <c r="AE4" s="21">
        <f>IF(MONTH(DATE(CalYear,8,29))=8,CHOOSE(WEEKDAY(DATE(CalYear,8,29)),"S","M","T","W","T","F","S"),"")</f>
        <v>0</v>
      </c>
      <c r="AF4" s="21">
        <f>IF(MONTH(DATE(CalYear,8,30))=8,CHOOSE(WEEKDAY(DATE(CalYear,8,30)),"S","M","T","W","T","F","S"),"")</f>
        <v>0</v>
      </c>
      <c r="AG4" s="21">
        <f>IF(MONTH(DATE(CalYear,8,31))=8,CHOOSE(WEEKDAY(DATE(CalYear,8,31)),"S","M","T","W","T","F","S"),"")</f>
        <v>0</v>
      </c>
      <c r="AI4" s="22" t="s">
        <v>89</v>
      </c>
      <c r="AJ4" s="23" t="s">
        <v>90</v>
      </c>
      <c r="AK4" s="24" t="s">
        <v>91</v>
      </c>
      <c r="AL4" s="25" t="s">
        <v>92</v>
      </c>
      <c r="AM4" s="26" t="s">
        <v>93</v>
      </c>
    </row>
    <row r="5" spans="2:39" ht="18" customHeight="1">
      <c r="B5" s="27" t="s">
        <v>68</v>
      </c>
      <c r="C5" s="28">
        <f>IF(MONTH(DATE(CalYear,8,1))=8,1,"")</f>
        <v>0</v>
      </c>
      <c r="D5" s="28">
        <f>IF(MONTH(DATE(CalYear,8,2))=8,2,"")</f>
        <v>0</v>
      </c>
      <c r="E5" s="28">
        <f>IF(MONTH(DATE(CalYear,8,3))=8,3,"")</f>
        <v>0</v>
      </c>
      <c r="F5" s="28">
        <f>IF(MONTH(DATE(CalYear,8,4))=8,4,"")</f>
        <v>0</v>
      </c>
      <c r="G5" s="28">
        <f>IF(MONTH(DATE(CalYear,8,5))=8,5,"")</f>
        <v>0</v>
      </c>
      <c r="H5" s="28">
        <f>IF(MONTH(DATE(CalYear,8,6))=8,6,"")</f>
        <v>0</v>
      </c>
      <c r="I5" s="28">
        <f>IF(MONTH(DATE(CalYear,8,7))=8,7,"")</f>
        <v>0</v>
      </c>
      <c r="J5" s="28">
        <f>IF(MONTH(DATE(CalYear,8,8))=8,8,"")</f>
        <v>0</v>
      </c>
      <c r="K5" s="28">
        <f>IF(MONTH(DATE(CalYear,8,9))=8,9,"")</f>
        <v>0</v>
      </c>
      <c r="L5" s="28">
        <f>IF(MONTH(DATE(CalYear,8,10))=8,10,"")</f>
        <v>0</v>
      </c>
      <c r="M5" s="28">
        <f>IF(MONTH(DATE(CalYear,8,11))=8,11,"")</f>
        <v>0</v>
      </c>
      <c r="N5" s="28">
        <f>IF(MONTH(DATE(CalYear,8,12))=8,12,"")</f>
        <v>0</v>
      </c>
      <c r="O5" s="28">
        <f>IF(MONTH(DATE(CalYear,8,13))=8,13,"")</f>
        <v>0</v>
      </c>
      <c r="P5" s="28">
        <f>IF(MONTH(DATE(CalYear,8,14))=8,14,"")</f>
        <v>0</v>
      </c>
      <c r="Q5" s="28">
        <f>IF(MONTH(DATE(CalYear,8,15))=8,15,"")</f>
        <v>0</v>
      </c>
      <c r="R5" s="28">
        <f>IF(MONTH(DATE(CalYear,8,16))=8,16,"")</f>
        <v>0</v>
      </c>
      <c r="S5" s="28">
        <f>IF(MONTH(DATE(CalYear,8,17))=8,17,"")</f>
        <v>0</v>
      </c>
      <c r="T5" s="28">
        <f>IF(MONTH(DATE(CalYear,8,18))=8,18,"")</f>
        <v>0</v>
      </c>
      <c r="U5" s="28">
        <f>IF(MONTH(DATE(CalYear,8,19))=8,19,"")</f>
        <v>0</v>
      </c>
      <c r="V5" s="28">
        <f>IF(MONTH(DATE(CalYear,8,20))=8,20,"")</f>
        <v>0</v>
      </c>
      <c r="W5" s="28">
        <f>IF(MONTH(DATE(CalYear,8,21))=8,21,"")</f>
        <v>0</v>
      </c>
      <c r="X5" s="28">
        <f>IF(MONTH(DATE(CalYear,8,22))=8,22,"")</f>
        <v>0</v>
      </c>
      <c r="Y5" s="28">
        <f>IF(MONTH(DATE(CalYear,8,23))=8,23,"")</f>
        <v>0</v>
      </c>
      <c r="Z5" s="28">
        <f>IF(MONTH(DATE(CalYear,8,24))=8,24,"")</f>
        <v>0</v>
      </c>
      <c r="AA5" s="28">
        <f>IF(MONTH(DATE(CalYear,8,25))=8,25,"")</f>
        <v>0</v>
      </c>
      <c r="AB5" s="28">
        <f>IF(MONTH(DATE(CalYear,8,26))=8,26,"")</f>
        <v>0</v>
      </c>
      <c r="AC5" s="28">
        <f>IF(MONTH(DATE(CalYear,8,27))=8,27,"")</f>
        <v>0</v>
      </c>
      <c r="AD5" s="28">
        <f>IF(MONTH(DATE(CalYear,8,28))=8,28,"")</f>
        <v>0</v>
      </c>
      <c r="AE5" s="28">
        <f>IF(MONTH(DATE(CalYear,8,29))=8,29,"")</f>
        <v>0</v>
      </c>
      <c r="AF5" s="28">
        <f>IF(MONTH(DATE(CalYear,8,30))=8,30,"")</f>
        <v>0</v>
      </c>
      <c r="AG5" s="28">
        <f>IF(MONTH(DATE(CalYear,8,31))=8,31,"")</f>
        <v>0</v>
      </c>
      <c r="AI5" s="22"/>
      <c r="AJ5" s="23"/>
      <c r="AK5" s="24"/>
      <c r="AL5" s="25"/>
      <c r="AM5" s="26"/>
    </row>
    <row r="6" spans="2:39" ht="17" customHeight="1">
      <c r="B6" s="29">
        <f>IF(Summary!B6="","",Summary!B6)</f>
        <v>0</v>
      </c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  <c r="AE6" s="30"/>
      <c r="AF6" s="30"/>
      <c r="AG6" s="30"/>
      <c r="AI6" s="31">
        <f>SUMPRODUCT(COUNTIF(C6:AG6,Codes)*(Codes&lt;&gt;"")*(CodeBucket="Vacation")*CodeDays)</f>
        <v>0</v>
      </c>
      <c r="AJ6" s="32">
        <f>SUMPRODUCT(COUNTIF(C6:AG6,Codes)*(Codes&lt;&gt;"")*(CodeBucket="Sick")*CodeDays)</f>
        <v>0</v>
      </c>
      <c r="AK6" s="33">
        <f>SUMPRODUCT(COUNTIF(C6:AG6,Codes)*(Codes&lt;&gt;"")*(CodeBucket="Personal")*CodeDays)</f>
        <v>0</v>
      </c>
      <c r="AL6" s="34">
        <f>SUMPRODUCT(COUNTIF(C6:AG6,Codes)*(Codes&lt;&gt;"")*(CodeBucket="Other")*CodeDays)</f>
        <v>0</v>
      </c>
      <c r="AM6" s="35">
        <f>SUM(AI6:AL6)</f>
        <v>0</v>
      </c>
    </row>
    <row r="7" spans="2:39" ht="17" customHeight="1">
      <c r="B7" s="29">
        <f>IF(Summary!B7="","",Summary!B7)</f>
        <v>0</v>
      </c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  <c r="AB7" s="30"/>
      <c r="AC7" s="30"/>
      <c r="AD7" s="30"/>
      <c r="AE7" s="30"/>
      <c r="AF7" s="30"/>
      <c r="AG7" s="30"/>
      <c r="AI7" s="31">
        <f>SUMPRODUCT(COUNTIF(C7:AG7,Codes)*(Codes&lt;&gt;"")*(CodeBucket="Vacation")*CodeDays)</f>
        <v>0</v>
      </c>
      <c r="AJ7" s="32">
        <f>SUMPRODUCT(COUNTIF(C7:AG7,Codes)*(Codes&lt;&gt;"")*(CodeBucket="Sick")*CodeDays)</f>
        <v>0</v>
      </c>
      <c r="AK7" s="33">
        <f>SUMPRODUCT(COUNTIF(C7:AG7,Codes)*(Codes&lt;&gt;"")*(CodeBucket="Personal")*CodeDays)</f>
        <v>0</v>
      </c>
      <c r="AL7" s="34">
        <f>SUMPRODUCT(COUNTIF(C7:AG7,Codes)*(Codes&lt;&gt;"")*(CodeBucket="Other")*CodeDays)</f>
        <v>0</v>
      </c>
      <c r="AM7" s="35">
        <f>SUM(AI7:AL7)</f>
        <v>0</v>
      </c>
    </row>
    <row r="8" spans="2:39" ht="17" customHeight="1">
      <c r="B8" s="29">
        <f>IF(Summary!B8="","",Summary!B8)</f>
        <v>0</v>
      </c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30"/>
      <c r="AA8" s="30"/>
      <c r="AB8" s="30"/>
      <c r="AC8" s="30"/>
      <c r="AD8" s="30"/>
      <c r="AE8" s="30"/>
      <c r="AF8" s="30"/>
      <c r="AG8" s="30"/>
      <c r="AI8" s="31">
        <f>SUMPRODUCT(COUNTIF(C8:AG8,Codes)*(Codes&lt;&gt;"")*(CodeBucket="Vacation")*CodeDays)</f>
        <v>0</v>
      </c>
      <c r="AJ8" s="32">
        <f>SUMPRODUCT(COUNTIF(C8:AG8,Codes)*(Codes&lt;&gt;"")*(CodeBucket="Sick")*CodeDays)</f>
        <v>0</v>
      </c>
      <c r="AK8" s="33">
        <f>SUMPRODUCT(COUNTIF(C8:AG8,Codes)*(Codes&lt;&gt;"")*(CodeBucket="Personal")*CodeDays)</f>
        <v>0</v>
      </c>
      <c r="AL8" s="34">
        <f>SUMPRODUCT(COUNTIF(C8:AG8,Codes)*(Codes&lt;&gt;"")*(CodeBucket="Other")*CodeDays)</f>
        <v>0</v>
      </c>
      <c r="AM8" s="35">
        <f>SUM(AI8:AL8)</f>
        <v>0</v>
      </c>
    </row>
    <row r="9" spans="2:39" ht="17" customHeight="1">
      <c r="B9" s="29">
        <f>IF(Summary!B9="","",Summary!B9)</f>
        <v>0</v>
      </c>
      <c r="C9" s="30"/>
      <c r="D9" s="30"/>
      <c r="E9" s="30"/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  <c r="AB9" s="30"/>
      <c r="AC9" s="30"/>
      <c r="AD9" s="30"/>
      <c r="AE9" s="30"/>
      <c r="AF9" s="30"/>
      <c r="AG9" s="30"/>
      <c r="AI9" s="31">
        <f>SUMPRODUCT(COUNTIF(C9:AG9,Codes)*(Codes&lt;&gt;"")*(CodeBucket="Vacation")*CodeDays)</f>
        <v>0</v>
      </c>
      <c r="AJ9" s="32">
        <f>SUMPRODUCT(COUNTIF(C9:AG9,Codes)*(Codes&lt;&gt;"")*(CodeBucket="Sick")*CodeDays)</f>
        <v>0</v>
      </c>
      <c r="AK9" s="33">
        <f>SUMPRODUCT(COUNTIF(C9:AG9,Codes)*(Codes&lt;&gt;"")*(CodeBucket="Personal")*CodeDays)</f>
        <v>0</v>
      </c>
      <c r="AL9" s="34">
        <f>SUMPRODUCT(COUNTIF(C9:AG9,Codes)*(Codes&lt;&gt;"")*(CodeBucket="Other")*CodeDays)</f>
        <v>0</v>
      </c>
      <c r="AM9" s="35">
        <f>SUM(AI9:AL9)</f>
        <v>0</v>
      </c>
    </row>
    <row r="10" spans="2:39" ht="17" customHeight="1">
      <c r="B10" s="29">
        <f>IF(Summary!B10="","",Summary!B10)</f>
        <v>0</v>
      </c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  <c r="AA10" s="30"/>
      <c r="AB10" s="30"/>
      <c r="AC10" s="30"/>
      <c r="AD10" s="30"/>
      <c r="AE10" s="30"/>
      <c r="AF10" s="30"/>
      <c r="AG10" s="30"/>
      <c r="AI10" s="31">
        <f>SUMPRODUCT(COUNTIF(C10:AG10,Codes)*(Codes&lt;&gt;"")*(CodeBucket="Vacation")*CodeDays)</f>
        <v>0</v>
      </c>
      <c r="AJ10" s="32">
        <f>SUMPRODUCT(COUNTIF(C10:AG10,Codes)*(Codes&lt;&gt;"")*(CodeBucket="Sick")*CodeDays)</f>
        <v>0</v>
      </c>
      <c r="AK10" s="33">
        <f>SUMPRODUCT(COUNTIF(C10:AG10,Codes)*(Codes&lt;&gt;"")*(CodeBucket="Personal")*CodeDays)</f>
        <v>0</v>
      </c>
      <c r="AL10" s="34">
        <f>SUMPRODUCT(COUNTIF(C10:AG10,Codes)*(Codes&lt;&gt;"")*(CodeBucket="Other")*CodeDays)</f>
        <v>0</v>
      </c>
      <c r="AM10" s="35">
        <f>SUM(AI10:AL10)</f>
        <v>0</v>
      </c>
    </row>
    <row r="11" spans="2:39" ht="17" customHeight="1">
      <c r="B11" s="29">
        <f>IF(Summary!B11="","",Summary!B11)</f>
        <v>0</v>
      </c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  <c r="AA11" s="30"/>
      <c r="AB11" s="30"/>
      <c r="AC11" s="30"/>
      <c r="AD11" s="30"/>
      <c r="AE11" s="30"/>
      <c r="AF11" s="30"/>
      <c r="AG11" s="30"/>
      <c r="AI11" s="31">
        <f>SUMPRODUCT(COUNTIF(C11:AG11,Codes)*(Codes&lt;&gt;"")*(CodeBucket="Vacation")*CodeDays)</f>
        <v>0</v>
      </c>
      <c r="AJ11" s="32">
        <f>SUMPRODUCT(COUNTIF(C11:AG11,Codes)*(Codes&lt;&gt;"")*(CodeBucket="Sick")*CodeDays)</f>
        <v>0</v>
      </c>
      <c r="AK11" s="33">
        <f>SUMPRODUCT(COUNTIF(C11:AG11,Codes)*(Codes&lt;&gt;"")*(CodeBucket="Personal")*CodeDays)</f>
        <v>0</v>
      </c>
      <c r="AL11" s="34">
        <f>SUMPRODUCT(COUNTIF(C11:AG11,Codes)*(Codes&lt;&gt;"")*(CodeBucket="Other")*CodeDays)</f>
        <v>0</v>
      </c>
      <c r="AM11" s="35">
        <f>SUM(AI11:AL11)</f>
        <v>0</v>
      </c>
    </row>
    <row r="12" spans="2:39" ht="17" customHeight="1">
      <c r="B12" s="29">
        <f>IF(Summary!B12="","",Summary!B12)</f>
        <v>0</v>
      </c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0"/>
      <c r="S12" s="30"/>
      <c r="T12" s="30"/>
      <c r="U12" s="30"/>
      <c r="V12" s="30"/>
      <c r="W12" s="30"/>
      <c r="X12" s="30"/>
      <c r="Y12" s="30"/>
      <c r="Z12" s="30"/>
      <c r="AA12" s="30"/>
      <c r="AB12" s="30"/>
      <c r="AC12" s="30"/>
      <c r="AD12" s="30"/>
      <c r="AE12" s="30"/>
      <c r="AF12" s="30"/>
      <c r="AG12" s="30"/>
      <c r="AI12" s="31">
        <f>SUMPRODUCT(COUNTIF(C12:AG12,Codes)*(Codes&lt;&gt;"")*(CodeBucket="Vacation")*CodeDays)</f>
        <v>0</v>
      </c>
      <c r="AJ12" s="32">
        <f>SUMPRODUCT(COUNTIF(C12:AG12,Codes)*(Codes&lt;&gt;"")*(CodeBucket="Sick")*CodeDays)</f>
        <v>0</v>
      </c>
      <c r="AK12" s="33">
        <f>SUMPRODUCT(COUNTIF(C12:AG12,Codes)*(Codes&lt;&gt;"")*(CodeBucket="Personal")*CodeDays)</f>
        <v>0</v>
      </c>
      <c r="AL12" s="34">
        <f>SUMPRODUCT(COUNTIF(C12:AG12,Codes)*(Codes&lt;&gt;"")*(CodeBucket="Other")*CodeDays)</f>
        <v>0</v>
      </c>
      <c r="AM12" s="35">
        <f>SUM(AI12:AL12)</f>
        <v>0</v>
      </c>
    </row>
    <row r="13" spans="2:39" ht="17" customHeight="1">
      <c r="B13" s="29">
        <f>IF(Summary!B13="","",Summary!B13)</f>
        <v>0</v>
      </c>
      <c r="C13" s="30"/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30"/>
      <c r="T13" s="30"/>
      <c r="U13" s="30"/>
      <c r="V13" s="30"/>
      <c r="W13" s="30"/>
      <c r="X13" s="30"/>
      <c r="Y13" s="30"/>
      <c r="Z13" s="30"/>
      <c r="AA13" s="30"/>
      <c r="AB13" s="30"/>
      <c r="AC13" s="30"/>
      <c r="AD13" s="30"/>
      <c r="AE13" s="30"/>
      <c r="AF13" s="30"/>
      <c r="AG13" s="30"/>
      <c r="AI13" s="31">
        <f>SUMPRODUCT(COUNTIF(C13:AG13,Codes)*(Codes&lt;&gt;"")*(CodeBucket="Vacation")*CodeDays)</f>
        <v>0</v>
      </c>
      <c r="AJ13" s="32">
        <f>SUMPRODUCT(COUNTIF(C13:AG13,Codes)*(Codes&lt;&gt;"")*(CodeBucket="Sick")*CodeDays)</f>
        <v>0</v>
      </c>
      <c r="AK13" s="33">
        <f>SUMPRODUCT(COUNTIF(C13:AG13,Codes)*(Codes&lt;&gt;"")*(CodeBucket="Personal")*CodeDays)</f>
        <v>0</v>
      </c>
      <c r="AL13" s="34">
        <f>SUMPRODUCT(COUNTIF(C13:AG13,Codes)*(Codes&lt;&gt;"")*(CodeBucket="Other")*CodeDays)</f>
        <v>0</v>
      </c>
      <c r="AM13" s="35">
        <f>SUM(AI13:AL13)</f>
        <v>0</v>
      </c>
    </row>
    <row r="14" spans="2:39" ht="17" customHeight="1">
      <c r="B14" s="29">
        <f>IF(Summary!B14="","",Summary!B14)</f>
        <v>0</v>
      </c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30"/>
      <c r="U14" s="30"/>
      <c r="V14" s="30"/>
      <c r="W14" s="30"/>
      <c r="X14" s="30"/>
      <c r="Y14" s="30"/>
      <c r="Z14" s="30"/>
      <c r="AA14" s="30"/>
      <c r="AB14" s="30"/>
      <c r="AC14" s="30"/>
      <c r="AD14" s="30"/>
      <c r="AE14" s="30"/>
      <c r="AF14" s="30"/>
      <c r="AG14" s="30"/>
      <c r="AI14" s="31">
        <f>SUMPRODUCT(COUNTIF(C14:AG14,Codes)*(Codes&lt;&gt;"")*(CodeBucket="Vacation")*CodeDays)</f>
        <v>0</v>
      </c>
      <c r="AJ14" s="32">
        <f>SUMPRODUCT(COUNTIF(C14:AG14,Codes)*(Codes&lt;&gt;"")*(CodeBucket="Sick")*CodeDays)</f>
        <v>0</v>
      </c>
      <c r="AK14" s="33">
        <f>SUMPRODUCT(COUNTIF(C14:AG14,Codes)*(Codes&lt;&gt;"")*(CodeBucket="Personal")*CodeDays)</f>
        <v>0</v>
      </c>
      <c r="AL14" s="34">
        <f>SUMPRODUCT(COUNTIF(C14:AG14,Codes)*(Codes&lt;&gt;"")*(CodeBucket="Other")*CodeDays)</f>
        <v>0</v>
      </c>
      <c r="AM14" s="35">
        <f>SUM(AI14:AL14)</f>
        <v>0</v>
      </c>
    </row>
    <row r="15" spans="2:39" ht="17" customHeight="1">
      <c r="B15" s="29">
        <f>IF(Summary!B15="","",Summary!B15)</f>
        <v>0</v>
      </c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0"/>
      <c r="AA15" s="30"/>
      <c r="AB15" s="30"/>
      <c r="AC15" s="30"/>
      <c r="AD15" s="30"/>
      <c r="AE15" s="30"/>
      <c r="AF15" s="30"/>
      <c r="AG15" s="30"/>
      <c r="AI15" s="31">
        <f>SUMPRODUCT(COUNTIF(C15:AG15,Codes)*(Codes&lt;&gt;"")*(CodeBucket="Vacation")*CodeDays)</f>
        <v>0</v>
      </c>
      <c r="AJ15" s="32">
        <f>SUMPRODUCT(COUNTIF(C15:AG15,Codes)*(Codes&lt;&gt;"")*(CodeBucket="Sick")*CodeDays)</f>
        <v>0</v>
      </c>
      <c r="AK15" s="33">
        <f>SUMPRODUCT(COUNTIF(C15:AG15,Codes)*(Codes&lt;&gt;"")*(CodeBucket="Personal")*CodeDays)</f>
        <v>0</v>
      </c>
      <c r="AL15" s="34">
        <f>SUMPRODUCT(COUNTIF(C15:AG15,Codes)*(Codes&lt;&gt;"")*(CodeBucket="Other")*CodeDays)</f>
        <v>0</v>
      </c>
      <c r="AM15" s="35">
        <f>SUM(AI15:AL15)</f>
        <v>0</v>
      </c>
    </row>
    <row r="16" spans="2:39" ht="17" customHeight="1">
      <c r="B16" s="29">
        <f>IF(Summary!B16="","",Summary!B16)</f>
        <v>0</v>
      </c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0"/>
      <c r="R16" s="30"/>
      <c r="S16" s="30"/>
      <c r="T16" s="30"/>
      <c r="U16" s="30"/>
      <c r="V16" s="30"/>
      <c r="W16" s="30"/>
      <c r="X16" s="30"/>
      <c r="Y16" s="30"/>
      <c r="Z16" s="30"/>
      <c r="AA16" s="30"/>
      <c r="AB16" s="30"/>
      <c r="AC16" s="30"/>
      <c r="AD16" s="30"/>
      <c r="AE16" s="30"/>
      <c r="AF16" s="30"/>
      <c r="AG16" s="30"/>
      <c r="AI16" s="31">
        <f>SUMPRODUCT(COUNTIF(C16:AG16,Codes)*(Codes&lt;&gt;"")*(CodeBucket="Vacation")*CodeDays)</f>
        <v>0</v>
      </c>
      <c r="AJ16" s="32">
        <f>SUMPRODUCT(COUNTIF(C16:AG16,Codes)*(Codes&lt;&gt;"")*(CodeBucket="Sick")*CodeDays)</f>
        <v>0</v>
      </c>
      <c r="AK16" s="33">
        <f>SUMPRODUCT(COUNTIF(C16:AG16,Codes)*(Codes&lt;&gt;"")*(CodeBucket="Personal")*CodeDays)</f>
        <v>0</v>
      </c>
      <c r="AL16" s="34">
        <f>SUMPRODUCT(COUNTIF(C16:AG16,Codes)*(Codes&lt;&gt;"")*(CodeBucket="Other")*CodeDays)</f>
        <v>0</v>
      </c>
      <c r="AM16" s="35">
        <f>SUM(AI16:AL16)</f>
        <v>0</v>
      </c>
    </row>
    <row r="17" spans="2:39" ht="17" customHeight="1">
      <c r="B17" s="29">
        <f>IF(Summary!B17="","",Summary!B17)</f>
        <v>0</v>
      </c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  <c r="O17" s="30"/>
      <c r="P17" s="30"/>
      <c r="Q17" s="30"/>
      <c r="R17" s="30"/>
      <c r="S17" s="30"/>
      <c r="T17" s="30"/>
      <c r="U17" s="30"/>
      <c r="V17" s="30"/>
      <c r="W17" s="30"/>
      <c r="X17" s="30"/>
      <c r="Y17" s="30"/>
      <c r="Z17" s="30"/>
      <c r="AA17" s="30"/>
      <c r="AB17" s="30"/>
      <c r="AC17" s="30"/>
      <c r="AD17" s="30"/>
      <c r="AE17" s="30"/>
      <c r="AF17" s="30"/>
      <c r="AG17" s="30"/>
      <c r="AI17" s="31">
        <f>SUMPRODUCT(COUNTIF(C17:AG17,Codes)*(Codes&lt;&gt;"")*(CodeBucket="Vacation")*CodeDays)</f>
        <v>0</v>
      </c>
      <c r="AJ17" s="32">
        <f>SUMPRODUCT(COUNTIF(C17:AG17,Codes)*(Codes&lt;&gt;"")*(CodeBucket="Sick")*CodeDays)</f>
        <v>0</v>
      </c>
      <c r="AK17" s="33">
        <f>SUMPRODUCT(COUNTIF(C17:AG17,Codes)*(Codes&lt;&gt;"")*(CodeBucket="Personal")*CodeDays)</f>
        <v>0</v>
      </c>
      <c r="AL17" s="34">
        <f>SUMPRODUCT(COUNTIF(C17:AG17,Codes)*(Codes&lt;&gt;"")*(CodeBucket="Other")*CodeDays)</f>
        <v>0</v>
      </c>
      <c r="AM17" s="35">
        <f>SUM(AI17:AL17)</f>
        <v>0</v>
      </c>
    </row>
    <row r="18" spans="2:39" ht="17" customHeight="1">
      <c r="B18" s="29">
        <f>IF(Summary!B18="","",Summary!B18)</f>
        <v>0</v>
      </c>
      <c r="C18" s="30"/>
      <c r="D18" s="30"/>
      <c r="E18" s="30"/>
      <c r="F18" s="30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30"/>
      <c r="R18" s="30"/>
      <c r="S18" s="30"/>
      <c r="T18" s="30"/>
      <c r="U18" s="30"/>
      <c r="V18" s="30"/>
      <c r="W18" s="30"/>
      <c r="X18" s="30"/>
      <c r="Y18" s="30"/>
      <c r="Z18" s="30"/>
      <c r="AA18" s="30"/>
      <c r="AB18" s="30"/>
      <c r="AC18" s="30"/>
      <c r="AD18" s="30"/>
      <c r="AE18" s="30"/>
      <c r="AF18" s="30"/>
      <c r="AG18" s="30"/>
      <c r="AI18" s="31">
        <f>SUMPRODUCT(COUNTIF(C18:AG18,Codes)*(Codes&lt;&gt;"")*(CodeBucket="Vacation")*CodeDays)</f>
        <v>0</v>
      </c>
      <c r="AJ18" s="32">
        <f>SUMPRODUCT(COUNTIF(C18:AG18,Codes)*(Codes&lt;&gt;"")*(CodeBucket="Sick")*CodeDays)</f>
        <v>0</v>
      </c>
      <c r="AK18" s="33">
        <f>SUMPRODUCT(COUNTIF(C18:AG18,Codes)*(Codes&lt;&gt;"")*(CodeBucket="Personal")*CodeDays)</f>
        <v>0</v>
      </c>
      <c r="AL18" s="34">
        <f>SUMPRODUCT(COUNTIF(C18:AG18,Codes)*(Codes&lt;&gt;"")*(CodeBucket="Other")*CodeDays)</f>
        <v>0</v>
      </c>
      <c r="AM18" s="35">
        <f>SUM(AI18:AL18)</f>
        <v>0</v>
      </c>
    </row>
    <row r="19" spans="2:39" ht="17" customHeight="1">
      <c r="B19" s="29">
        <f>IF(Summary!B19="","",Summary!B19)</f>
        <v>0</v>
      </c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30"/>
      <c r="AE19" s="30"/>
      <c r="AF19" s="30"/>
      <c r="AG19" s="30"/>
      <c r="AI19" s="31">
        <f>SUMPRODUCT(COUNTIF(C19:AG19,Codes)*(Codes&lt;&gt;"")*(CodeBucket="Vacation")*CodeDays)</f>
        <v>0</v>
      </c>
      <c r="AJ19" s="32">
        <f>SUMPRODUCT(COUNTIF(C19:AG19,Codes)*(Codes&lt;&gt;"")*(CodeBucket="Sick")*CodeDays)</f>
        <v>0</v>
      </c>
      <c r="AK19" s="33">
        <f>SUMPRODUCT(COUNTIF(C19:AG19,Codes)*(Codes&lt;&gt;"")*(CodeBucket="Personal")*CodeDays)</f>
        <v>0</v>
      </c>
      <c r="AL19" s="34">
        <f>SUMPRODUCT(COUNTIF(C19:AG19,Codes)*(Codes&lt;&gt;"")*(CodeBucket="Other")*CodeDays)</f>
        <v>0</v>
      </c>
      <c r="AM19" s="35">
        <f>SUM(AI19:AL19)</f>
        <v>0</v>
      </c>
    </row>
    <row r="20" spans="2:39" ht="17" customHeight="1">
      <c r="B20" s="29">
        <f>IF(Summary!B20="","",Summary!B20)</f>
        <v>0</v>
      </c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0"/>
      <c r="V20" s="30"/>
      <c r="W20" s="30"/>
      <c r="X20" s="30"/>
      <c r="Y20" s="30"/>
      <c r="Z20" s="30"/>
      <c r="AA20" s="30"/>
      <c r="AB20" s="30"/>
      <c r="AC20" s="30"/>
      <c r="AD20" s="30"/>
      <c r="AE20" s="30"/>
      <c r="AF20" s="30"/>
      <c r="AG20" s="30"/>
      <c r="AI20" s="31">
        <f>SUMPRODUCT(COUNTIF(C20:AG20,Codes)*(Codes&lt;&gt;"")*(CodeBucket="Vacation")*CodeDays)</f>
        <v>0</v>
      </c>
      <c r="AJ20" s="32">
        <f>SUMPRODUCT(COUNTIF(C20:AG20,Codes)*(Codes&lt;&gt;"")*(CodeBucket="Sick")*CodeDays)</f>
        <v>0</v>
      </c>
      <c r="AK20" s="33">
        <f>SUMPRODUCT(COUNTIF(C20:AG20,Codes)*(Codes&lt;&gt;"")*(CodeBucket="Personal")*CodeDays)</f>
        <v>0</v>
      </c>
      <c r="AL20" s="34">
        <f>SUMPRODUCT(COUNTIF(C20:AG20,Codes)*(Codes&lt;&gt;"")*(CodeBucket="Other")*CodeDays)</f>
        <v>0</v>
      </c>
      <c r="AM20" s="35">
        <f>SUM(AI20:AL20)</f>
        <v>0</v>
      </c>
    </row>
    <row r="21" spans="2:39" ht="17" customHeight="1">
      <c r="B21" s="29">
        <f>IF(Summary!B21="","",Summary!B21)</f>
        <v>0</v>
      </c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0"/>
      <c r="P21" s="30"/>
      <c r="Q21" s="30"/>
      <c r="R21" s="30"/>
      <c r="S21" s="30"/>
      <c r="T21" s="30"/>
      <c r="U21" s="30"/>
      <c r="V21" s="30"/>
      <c r="W21" s="30"/>
      <c r="X21" s="30"/>
      <c r="Y21" s="30"/>
      <c r="Z21" s="30"/>
      <c r="AA21" s="30"/>
      <c r="AB21" s="30"/>
      <c r="AC21" s="30"/>
      <c r="AD21" s="30"/>
      <c r="AE21" s="30"/>
      <c r="AF21" s="30"/>
      <c r="AG21" s="30"/>
      <c r="AI21" s="31">
        <f>SUMPRODUCT(COUNTIF(C21:AG21,Codes)*(Codes&lt;&gt;"")*(CodeBucket="Vacation")*CodeDays)</f>
        <v>0</v>
      </c>
      <c r="AJ21" s="32">
        <f>SUMPRODUCT(COUNTIF(C21:AG21,Codes)*(Codes&lt;&gt;"")*(CodeBucket="Sick")*CodeDays)</f>
        <v>0</v>
      </c>
      <c r="AK21" s="33">
        <f>SUMPRODUCT(COUNTIF(C21:AG21,Codes)*(Codes&lt;&gt;"")*(CodeBucket="Personal")*CodeDays)</f>
        <v>0</v>
      </c>
      <c r="AL21" s="34">
        <f>SUMPRODUCT(COUNTIF(C21:AG21,Codes)*(Codes&lt;&gt;"")*(CodeBucket="Other")*CodeDays)</f>
        <v>0</v>
      </c>
      <c r="AM21" s="35">
        <f>SUM(AI21:AL21)</f>
        <v>0</v>
      </c>
    </row>
    <row r="22" spans="2:39" ht="17" customHeight="1">
      <c r="B22" s="29">
        <f>IF(Summary!B22="","",Summary!B22)</f>
        <v>0</v>
      </c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0"/>
      <c r="W22" s="30"/>
      <c r="X22" s="30"/>
      <c r="Y22" s="30"/>
      <c r="Z22" s="30"/>
      <c r="AA22" s="30"/>
      <c r="AB22" s="30"/>
      <c r="AC22" s="30"/>
      <c r="AD22" s="30"/>
      <c r="AE22" s="30"/>
      <c r="AF22" s="30"/>
      <c r="AG22" s="30"/>
      <c r="AI22" s="31">
        <f>SUMPRODUCT(COUNTIF(C22:AG22,Codes)*(Codes&lt;&gt;"")*(CodeBucket="Vacation")*CodeDays)</f>
        <v>0</v>
      </c>
      <c r="AJ22" s="32">
        <f>SUMPRODUCT(COUNTIF(C22:AG22,Codes)*(Codes&lt;&gt;"")*(CodeBucket="Sick")*CodeDays)</f>
        <v>0</v>
      </c>
      <c r="AK22" s="33">
        <f>SUMPRODUCT(COUNTIF(C22:AG22,Codes)*(Codes&lt;&gt;"")*(CodeBucket="Personal")*CodeDays)</f>
        <v>0</v>
      </c>
      <c r="AL22" s="34">
        <f>SUMPRODUCT(COUNTIF(C22:AG22,Codes)*(Codes&lt;&gt;"")*(CodeBucket="Other")*CodeDays)</f>
        <v>0</v>
      </c>
      <c r="AM22" s="35">
        <f>SUM(AI22:AL22)</f>
        <v>0</v>
      </c>
    </row>
    <row r="23" spans="2:39" ht="17" customHeight="1">
      <c r="B23" s="29">
        <f>IF(Summary!B23="","",Summary!B23)</f>
        <v>0</v>
      </c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30"/>
      <c r="S23" s="30"/>
      <c r="T23" s="30"/>
      <c r="U23" s="30"/>
      <c r="V23" s="30"/>
      <c r="W23" s="30"/>
      <c r="X23" s="30"/>
      <c r="Y23" s="30"/>
      <c r="Z23" s="30"/>
      <c r="AA23" s="30"/>
      <c r="AB23" s="30"/>
      <c r="AC23" s="30"/>
      <c r="AD23" s="30"/>
      <c r="AE23" s="30"/>
      <c r="AF23" s="30"/>
      <c r="AG23" s="30"/>
      <c r="AI23" s="31">
        <f>SUMPRODUCT(COUNTIF(C23:AG23,Codes)*(Codes&lt;&gt;"")*(CodeBucket="Vacation")*CodeDays)</f>
        <v>0</v>
      </c>
      <c r="AJ23" s="32">
        <f>SUMPRODUCT(COUNTIF(C23:AG23,Codes)*(Codes&lt;&gt;"")*(CodeBucket="Sick")*CodeDays)</f>
        <v>0</v>
      </c>
      <c r="AK23" s="33">
        <f>SUMPRODUCT(COUNTIF(C23:AG23,Codes)*(Codes&lt;&gt;"")*(CodeBucket="Personal")*CodeDays)</f>
        <v>0</v>
      </c>
      <c r="AL23" s="34">
        <f>SUMPRODUCT(COUNTIF(C23:AG23,Codes)*(Codes&lt;&gt;"")*(CodeBucket="Other")*CodeDays)</f>
        <v>0</v>
      </c>
      <c r="AM23" s="35">
        <f>SUM(AI23:AL23)</f>
        <v>0</v>
      </c>
    </row>
    <row r="24" spans="2:39" ht="17" customHeight="1">
      <c r="B24" s="29">
        <f>IF(Summary!B24="","",Summary!B24)</f>
        <v>0</v>
      </c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30"/>
      <c r="S24" s="30"/>
      <c r="T24" s="30"/>
      <c r="U24" s="30"/>
      <c r="V24" s="30"/>
      <c r="W24" s="30"/>
      <c r="X24" s="30"/>
      <c r="Y24" s="30"/>
      <c r="Z24" s="30"/>
      <c r="AA24" s="30"/>
      <c r="AB24" s="30"/>
      <c r="AC24" s="30"/>
      <c r="AD24" s="30"/>
      <c r="AE24" s="30"/>
      <c r="AF24" s="30"/>
      <c r="AG24" s="30"/>
      <c r="AI24" s="31">
        <f>SUMPRODUCT(COUNTIF(C24:AG24,Codes)*(Codes&lt;&gt;"")*(CodeBucket="Vacation")*CodeDays)</f>
        <v>0</v>
      </c>
      <c r="AJ24" s="32">
        <f>SUMPRODUCT(COUNTIF(C24:AG24,Codes)*(Codes&lt;&gt;"")*(CodeBucket="Sick")*CodeDays)</f>
        <v>0</v>
      </c>
      <c r="AK24" s="33">
        <f>SUMPRODUCT(COUNTIF(C24:AG24,Codes)*(Codes&lt;&gt;"")*(CodeBucket="Personal")*CodeDays)</f>
        <v>0</v>
      </c>
      <c r="AL24" s="34">
        <f>SUMPRODUCT(COUNTIF(C24:AG24,Codes)*(Codes&lt;&gt;"")*(CodeBucket="Other")*CodeDays)</f>
        <v>0</v>
      </c>
      <c r="AM24" s="35">
        <f>SUM(AI24:AL24)</f>
        <v>0</v>
      </c>
    </row>
    <row r="25" spans="2:39" ht="17" customHeight="1">
      <c r="B25" s="29">
        <f>IF(Summary!B25="","",Summary!B25)</f>
        <v>0</v>
      </c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I25" s="31">
        <f>SUMPRODUCT(COUNTIF(C25:AG25,Codes)*(Codes&lt;&gt;"")*(CodeBucket="Vacation")*CodeDays)</f>
        <v>0</v>
      </c>
      <c r="AJ25" s="32">
        <f>SUMPRODUCT(COUNTIF(C25:AG25,Codes)*(Codes&lt;&gt;"")*(CodeBucket="Sick")*CodeDays)</f>
        <v>0</v>
      </c>
      <c r="AK25" s="33">
        <f>SUMPRODUCT(COUNTIF(C25:AG25,Codes)*(Codes&lt;&gt;"")*(CodeBucket="Personal")*CodeDays)</f>
        <v>0</v>
      </c>
      <c r="AL25" s="34">
        <f>SUMPRODUCT(COUNTIF(C25:AG25,Codes)*(Codes&lt;&gt;"")*(CodeBucket="Other")*CodeDays)</f>
        <v>0</v>
      </c>
      <c r="AM25" s="35">
        <f>SUM(AI25:AL25)</f>
        <v>0</v>
      </c>
    </row>
    <row r="26" spans="2:39" ht="17" customHeight="1">
      <c r="B26" s="29">
        <f>IF(Summary!B26="","",Summary!B26)</f>
        <v>0</v>
      </c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I26" s="31">
        <f>SUMPRODUCT(COUNTIF(C26:AG26,Codes)*(Codes&lt;&gt;"")*(CodeBucket="Vacation")*CodeDays)</f>
        <v>0</v>
      </c>
      <c r="AJ26" s="32">
        <f>SUMPRODUCT(COUNTIF(C26:AG26,Codes)*(Codes&lt;&gt;"")*(CodeBucket="Sick")*CodeDays)</f>
        <v>0</v>
      </c>
      <c r="AK26" s="33">
        <f>SUMPRODUCT(COUNTIF(C26:AG26,Codes)*(Codes&lt;&gt;"")*(CodeBucket="Personal")*CodeDays)</f>
        <v>0</v>
      </c>
      <c r="AL26" s="34">
        <f>SUMPRODUCT(COUNTIF(C26:AG26,Codes)*(Codes&lt;&gt;"")*(CodeBucket="Other")*CodeDays)</f>
        <v>0</v>
      </c>
      <c r="AM26" s="35">
        <f>SUM(AI26:AL26)</f>
        <v>0</v>
      </c>
    </row>
    <row r="27" spans="2:39" ht="17" customHeight="1">
      <c r="B27" s="29">
        <f>IF(Summary!B27="","",Summary!B27)</f>
        <v>0</v>
      </c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  <c r="AD27" s="30"/>
      <c r="AE27" s="30"/>
      <c r="AF27" s="30"/>
      <c r="AG27" s="30"/>
      <c r="AI27" s="31">
        <f>SUMPRODUCT(COUNTIF(C27:AG27,Codes)*(Codes&lt;&gt;"")*(CodeBucket="Vacation")*CodeDays)</f>
        <v>0</v>
      </c>
      <c r="AJ27" s="32">
        <f>SUMPRODUCT(COUNTIF(C27:AG27,Codes)*(Codes&lt;&gt;"")*(CodeBucket="Sick")*CodeDays)</f>
        <v>0</v>
      </c>
      <c r="AK27" s="33">
        <f>SUMPRODUCT(COUNTIF(C27:AG27,Codes)*(Codes&lt;&gt;"")*(CodeBucket="Personal")*CodeDays)</f>
        <v>0</v>
      </c>
      <c r="AL27" s="34">
        <f>SUMPRODUCT(COUNTIF(C27:AG27,Codes)*(Codes&lt;&gt;"")*(CodeBucket="Other")*CodeDays)</f>
        <v>0</v>
      </c>
      <c r="AM27" s="35">
        <f>SUM(AI27:AL27)</f>
        <v>0</v>
      </c>
    </row>
    <row r="28" spans="2:39" ht="17" customHeight="1">
      <c r="B28" s="29">
        <f>IF(Summary!B28="","",Summary!B28)</f>
        <v>0</v>
      </c>
      <c r="C28" s="30"/>
      <c r="D28" s="30"/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0"/>
      <c r="P28" s="30"/>
      <c r="Q28" s="30"/>
      <c r="R28" s="30"/>
      <c r="S28" s="30"/>
      <c r="T28" s="30"/>
      <c r="U28" s="30"/>
      <c r="V28" s="30"/>
      <c r="W28" s="30"/>
      <c r="X28" s="30"/>
      <c r="Y28" s="30"/>
      <c r="Z28" s="30"/>
      <c r="AA28" s="30"/>
      <c r="AB28" s="30"/>
      <c r="AC28" s="30"/>
      <c r="AD28" s="30"/>
      <c r="AE28" s="30"/>
      <c r="AF28" s="30"/>
      <c r="AG28" s="30"/>
      <c r="AI28" s="31">
        <f>SUMPRODUCT(COUNTIF(C28:AG28,Codes)*(Codes&lt;&gt;"")*(CodeBucket="Vacation")*CodeDays)</f>
        <v>0</v>
      </c>
      <c r="AJ28" s="32">
        <f>SUMPRODUCT(COUNTIF(C28:AG28,Codes)*(Codes&lt;&gt;"")*(CodeBucket="Sick")*CodeDays)</f>
        <v>0</v>
      </c>
      <c r="AK28" s="33">
        <f>SUMPRODUCT(COUNTIF(C28:AG28,Codes)*(Codes&lt;&gt;"")*(CodeBucket="Personal")*CodeDays)</f>
        <v>0</v>
      </c>
      <c r="AL28" s="34">
        <f>SUMPRODUCT(COUNTIF(C28:AG28,Codes)*(Codes&lt;&gt;"")*(CodeBucket="Other")*CodeDays)</f>
        <v>0</v>
      </c>
      <c r="AM28" s="35">
        <f>SUM(AI28:AL28)</f>
        <v>0</v>
      </c>
    </row>
    <row r="29" spans="2:39" ht="17" customHeight="1">
      <c r="B29" s="29">
        <f>IF(Summary!B29="","",Summary!B29)</f>
        <v>0</v>
      </c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30"/>
      <c r="AD29" s="30"/>
      <c r="AE29" s="30"/>
      <c r="AF29" s="30"/>
      <c r="AG29" s="30"/>
      <c r="AI29" s="31">
        <f>SUMPRODUCT(COUNTIF(C29:AG29,Codes)*(Codes&lt;&gt;"")*(CodeBucket="Vacation")*CodeDays)</f>
        <v>0</v>
      </c>
      <c r="AJ29" s="32">
        <f>SUMPRODUCT(COUNTIF(C29:AG29,Codes)*(Codes&lt;&gt;"")*(CodeBucket="Sick")*CodeDays)</f>
        <v>0</v>
      </c>
      <c r="AK29" s="33">
        <f>SUMPRODUCT(COUNTIF(C29:AG29,Codes)*(Codes&lt;&gt;"")*(CodeBucket="Personal")*CodeDays)</f>
        <v>0</v>
      </c>
      <c r="AL29" s="34">
        <f>SUMPRODUCT(COUNTIF(C29:AG29,Codes)*(Codes&lt;&gt;"")*(CodeBucket="Other")*CodeDays)</f>
        <v>0</v>
      </c>
      <c r="AM29" s="35">
        <f>SUM(AI29:AL29)</f>
        <v>0</v>
      </c>
    </row>
    <row r="30" spans="2:39" ht="17" customHeight="1">
      <c r="B30" s="29">
        <f>IF(Summary!B30="","",Summary!B30)</f>
        <v>0</v>
      </c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  <c r="AF30" s="30"/>
      <c r="AG30" s="30"/>
      <c r="AI30" s="31">
        <f>SUMPRODUCT(COUNTIF(C30:AG30,Codes)*(Codes&lt;&gt;"")*(CodeBucket="Vacation")*CodeDays)</f>
        <v>0</v>
      </c>
      <c r="AJ30" s="32">
        <f>SUMPRODUCT(COUNTIF(C30:AG30,Codes)*(Codes&lt;&gt;"")*(CodeBucket="Sick")*CodeDays)</f>
        <v>0</v>
      </c>
      <c r="AK30" s="33">
        <f>SUMPRODUCT(COUNTIF(C30:AG30,Codes)*(Codes&lt;&gt;"")*(CodeBucket="Personal")*CodeDays)</f>
        <v>0</v>
      </c>
      <c r="AL30" s="34">
        <f>SUMPRODUCT(COUNTIF(C30:AG30,Codes)*(Codes&lt;&gt;"")*(CodeBucket="Other")*CodeDays)</f>
        <v>0</v>
      </c>
      <c r="AM30" s="35">
        <f>SUM(AI30:AL30)</f>
        <v>0</v>
      </c>
    </row>
    <row r="31" spans="2:39" ht="16" customHeight="1">
      <c r="B31" s="36" t="s">
        <v>94</v>
      </c>
      <c r="C31" s="37">
        <f>IF(COUNTA(C6:C30)=0,"",COUNTA(C6:C30))</f>
        <v>0</v>
      </c>
      <c r="D31" s="37">
        <f>IF(COUNTA(D6:D30)=0,"",COUNTA(D6:D30))</f>
        <v>0</v>
      </c>
      <c r="E31" s="37">
        <f>IF(COUNTA(E6:E30)=0,"",COUNTA(E6:E30))</f>
        <v>0</v>
      </c>
      <c r="F31" s="37">
        <f>IF(COUNTA(F6:F30)=0,"",COUNTA(F6:F30))</f>
        <v>0</v>
      </c>
      <c r="G31" s="37">
        <f>IF(COUNTA(G6:G30)=0,"",COUNTA(G6:G30))</f>
        <v>0</v>
      </c>
      <c r="H31" s="37">
        <f>IF(COUNTA(H6:H30)=0,"",COUNTA(H6:H30))</f>
        <v>0</v>
      </c>
      <c r="I31" s="37">
        <f>IF(COUNTA(I6:I30)=0,"",COUNTA(I6:I30))</f>
        <v>0</v>
      </c>
      <c r="J31" s="37">
        <f>IF(COUNTA(J6:J30)=0,"",COUNTA(J6:J30))</f>
        <v>0</v>
      </c>
      <c r="K31" s="37">
        <f>IF(COUNTA(K6:K30)=0,"",COUNTA(K6:K30))</f>
        <v>0</v>
      </c>
      <c r="L31" s="37">
        <f>IF(COUNTA(L6:L30)=0,"",COUNTA(L6:L30))</f>
        <v>0</v>
      </c>
      <c r="M31" s="37">
        <f>IF(COUNTA(M6:M30)=0,"",COUNTA(M6:M30))</f>
        <v>0</v>
      </c>
      <c r="N31" s="37">
        <f>IF(COUNTA(N6:N30)=0,"",COUNTA(N6:N30))</f>
        <v>0</v>
      </c>
      <c r="O31" s="37">
        <f>IF(COUNTA(O6:O30)=0,"",COUNTA(O6:O30))</f>
        <v>0</v>
      </c>
      <c r="P31" s="37">
        <f>IF(COUNTA(P6:P30)=0,"",COUNTA(P6:P30))</f>
        <v>0</v>
      </c>
      <c r="Q31" s="37">
        <f>IF(COUNTA(Q6:Q30)=0,"",COUNTA(Q6:Q30))</f>
        <v>0</v>
      </c>
      <c r="R31" s="37">
        <f>IF(COUNTA(R6:R30)=0,"",COUNTA(R6:R30))</f>
        <v>0</v>
      </c>
      <c r="S31" s="37">
        <f>IF(COUNTA(S6:S30)=0,"",COUNTA(S6:S30))</f>
        <v>0</v>
      </c>
      <c r="T31" s="37">
        <f>IF(COUNTA(T6:T30)=0,"",COUNTA(T6:T30))</f>
        <v>0</v>
      </c>
      <c r="U31" s="37">
        <f>IF(COUNTA(U6:U30)=0,"",COUNTA(U6:U30))</f>
        <v>0</v>
      </c>
      <c r="V31" s="37">
        <f>IF(COUNTA(V6:V30)=0,"",COUNTA(V6:V30))</f>
        <v>0</v>
      </c>
      <c r="W31" s="37">
        <f>IF(COUNTA(W6:W30)=0,"",COUNTA(W6:W30))</f>
        <v>0</v>
      </c>
      <c r="X31" s="37">
        <f>IF(COUNTA(X6:X30)=0,"",COUNTA(X6:X30))</f>
        <v>0</v>
      </c>
      <c r="Y31" s="37">
        <f>IF(COUNTA(Y6:Y30)=0,"",COUNTA(Y6:Y30))</f>
        <v>0</v>
      </c>
      <c r="Z31" s="37">
        <f>IF(COUNTA(Z6:Z30)=0,"",COUNTA(Z6:Z30))</f>
        <v>0</v>
      </c>
      <c r="AA31" s="37">
        <f>IF(COUNTA(AA6:AA30)=0,"",COUNTA(AA6:AA30))</f>
        <v>0</v>
      </c>
      <c r="AB31" s="37">
        <f>IF(COUNTA(AB6:AB30)=0,"",COUNTA(AB6:AB30))</f>
        <v>0</v>
      </c>
      <c r="AC31" s="37">
        <f>IF(COUNTA(AC6:AC30)=0,"",COUNTA(AC6:AC30))</f>
        <v>0</v>
      </c>
      <c r="AD31" s="37">
        <f>IF(COUNTA(AD6:AD30)=0,"",COUNTA(AD6:AD30))</f>
        <v>0</v>
      </c>
      <c r="AE31" s="37">
        <f>IF(COUNTA(AE6:AE30)=0,"",COUNTA(AE6:AE30))</f>
        <v>0</v>
      </c>
      <c r="AF31" s="37">
        <f>IF(COUNTA(AF6:AF30)=0,"",COUNTA(AF6:AF30))</f>
        <v>0</v>
      </c>
      <c r="AG31" s="37">
        <f>IF(COUNTA(AG6:AG30)=0,"",COUNTA(AG6:AG30))</f>
        <v>0</v>
      </c>
    </row>
    <row r="33" spans="2:39">
      <c r="B33" s="38" t="s">
        <v>95</v>
      </c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8"/>
      <c r="AG33" s="38"/>
      <c r="AH33" s="38"/>
      <c r="AI33" s="38"/>
      <c r="AJ33" s="38"/>
      <c r="AK33" s="38"/>
      <c r="AL33" s="38"/>
      <c r="AM33" s="38"/>
    </row>
  </sheetData>
  <mergeCells count="9">
    <mergeCell ref="B2:I2"/>
    <mergeCell ref="J2:N2"/>
    <mergeCell ref="P2:AM2"/>
    <mergeCell ref="AI4:AI5"/>
    <mergeCell ref="AJ4:AJ5"/>
    <mergeCell ref="AK4:AK5"/>
    <mergeCell ref="AL4:AL5"/>
    <mergeCell ref="AM4:AM5"/>
    <mergeCell ref="B33:AM33"/>
  </mergeCells>
  <conditionalFormatting sqref="C4:AG5">
    <cfRule type="expression" dxfId="7" priority="8">
      <formula>AND(MONTH(DATE(CalYear,8,COLUMN()-2))=8,COUNTIFS(INDIRECT("Holidays!$C$6:$C$60"),DATE(CalYear,8,COLUMN()-2),INDIRECT("Holidays!$D$6:$D$60"),"Holiday")&gt;0)</formula>
    </cfRule>
  </conditionalFormatting>
  <conditionalFormatting sqref="C6:AG30">
    <cfRule type="expression" dxfId="0" priority="1" stopIfTrue="1">
      <formula>MONTH(DATE(CalYear,8,COLUMN()-2))&lt;&gt;8</formula>
    </cfRule>
    <cfRule type="expression" dxfId="1" priority="2" stopIfTrue="1">
      <formula>AND(C6&lt;&gt;"",COUNTIFS(INDIRECT("Setup!$B$9:$B$22"),C6,INDIRECT("Setup!$E$9:$E$22"),"Vacation")&gt;0)</formula>
    </cfRule>
    <cfRule type="expression" dxfId="2" priority="3" stopIfTrue="1">
      <formula>AND(C6&lt;&gt;"",COUNTIFS(INDIRECT("Setup!$B$9:$B$22"),C6,INDIRECT("Setup!$E$9:$E$22"),"Sick")&gt;0)</formula>
    </cfRule>
    <cfRule type="expression" dxfId="3" priority="4" stopIfTrue="1">
      <formula>AND(C6&lt;&gt;"",COUNTIFS(INDIRECT("Setup!$B$9:$B$22"),C6,INDIRECT("Setup!$E$9:$E$22"),"Personal")&gt;0)</formula>
    </cfRule>
    <cfRule type="expression" dxfId="4" priority="5" stopIfTrue="1">
      <formula>AND(C6&lt;&gt;"",COUNTIFS(INDIRECT("Setup!$B$9:$B$22"),C6,INDIRECT("Setup!$E$9:$E$22"),"Other")&gt;0)</formula>
    </cfRule>
    <cfRule type="expression" dxfId="5" priority="6" stopIfTrue="1">
      <formula>COUNTIFS(INDIRECT("Holidays!$C$6:$C$60"),DATE(CalYear,8,COLUMN()-2),INDIRECT("Holidays!$D$6:$D$60"),"Holiday")&gt;0</formula>
    </cfRule>
    <cfRule type="expression" dxfId="6" priority="7" stopIfTrue="1">
      <formula>OR(WEEKDAY(DATE(CalYear,8,COLUMN()-2))=1,WEEKDAY(DATE(CalYear,8,COLUMN()-2))=7)</formula>
    </cfRule>
  </conditionalFormatting>
  <dataValidations count="1">
    <dataValidation type="list" errorStyle="warning" allowBlank="1" showInputMessage="1" showErrorMessage="1" error="Not a code from the Setup tab (it won't be counted)." sqref="C6:AG30">
      <formula1>Codes</formula1>
    </dataValidation>
  </dataValidations>
  <printOptions horizontalCentered="1"/>
  <pageMargins left="0.3" right="0.3" top="0.3" bottom="0.3" header="0.3" footer="0.3"/>
  <pageSetup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2:AM33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/>
    </sheetView>
  </sheetViews>
  <sheetFormatPr defaultRowHeight="15"/>
  <cols>
    <col min="1" max="1" width="1.7109375" customWidth="1"/>
    <col min="2" max="2" width="18.7109375" customWidth="1"/>
    <col min="3" max="33" width="3.85546875" customWidth="1"/>
    <col min="34" max="34" width="1.7109375" customWidth="1"/>
    <col min="35" max="38" width="5.7109375" customWidth="1"/>
    <col min="39" max="39" width="6.28515625" customWidth="1"/>
  </cols>
  <sheetData>
    <row r="2" spans="2:39" ht="34" customHeight="1">
      <c r="B2" s="1" t="s">
        <v>103</v>
      </c>
      <c r="C2" s="1"/>
      <c r="D2" s="1"/>
      <c r="E2" s="1"/>
      <c r="F2" s="1"/>
      <c r="G2" s="1"/>
      <c r="H2" s="1"/>
      <c r="I2" s="1"/>
      <c r="J2" s="18">
        <f>CalYear</f>
        <v>0</v>
      </c>
      <c r="K2" s="18"/>
      <c r="L2" s="18"/>
      <c r="M2" s="18"/>
      <c r="N2" s="18"/>
      <c r="P2" s="19">
        <f>"Codes: "&amp;Setup!B9&amp;" "&amp;Setup!C9&amp;" · "&amp;Setup!B10&amp;" "&amp;Setup!C10&amp;" · "&amp;Setup!B11&amp;" "&amp;Setup!C11&amp;" · "&amp;Setup!B13&amp;" "&amp;Setup!C13&amp;" · "&amp;Setup!B15&amp;" "&amp;Setup!C15&amp;"   (full list on Setup)"</f>
        <v>0</v>
      </c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</row>
    <row r="4" spans="2:39" ht="14" customHeight="1">
      <c r="B4" s="20"/>
      <c r="C4" s="21">
        <f>IF(MONTH(DATE(CalYear,9,1))=9,CHOOSE(WEEKDAY(DATE(CalYear,9,1)),"S","M","T","W","T","F","S"),"")</f>
        <v>0</v>
      </c>
      <c r="D4" s="21">
        <f>IF(MONTH(DATE(CalYear,9,2))=9,CHOOSE(WEEKDAY(DATE(CalYear,9,2)),"S","M","T","W","T","F","S"),"")</f>
        <v>0</v>
      </c>
      <c r="E4" s="21">
        <f>IF(MONTH(DATE(CalYear,9,3))=9,CHOOSE(WEEKDAY(DATE(CalYear,9,3)),"S","M","T","W","T","F","S"),"")</f>
        <v>0</v>
      </c>
      <c r="F4" s="21">
        <f>IF(MONTH(DATE(CalYear,9,4))=9,CHOOSE(WEEKDAY(DATE(CalYear,9,4)),"S","M","T","W","T","F","S"),"")</f>
        <v>0</v>
      </c>
      <c r="G4" s="21">
        <f>IF(MONTH(DATE(CalYear,9,5))=9,CHOOSE(WEEKDAY(DATE(CalYear,9,5)),"S","M","T","W","T","F","S"),"")</f>
        <v>0</v>
      </c>
      <c r="H4" s="21">
        <f>IF(MONTH(DATE(CalYear,9,6))=9,CHOOSE(WEEKDAY(DATE(CalYear,9,6)),"S","M","T","W","T","F","S"),"")</f>
        <v>0</v>
      </c>
      <c r="I4" s="21">
        <f>IF(MONTH(DATE(CalYear,9,7))=9,CHOOSE(WEEKDAY(DATE(CalYear,9,7)),"S","M","T","W","T","F","S"),"")</f>
        <v>0</v>
      </c>
      <c r="J4" s="21">
        <f>IF(MONTH(DATE(CalYear,9,8))=9,CHOOSE(WEEKDAY(DATE(CalYear,9,8)),"S","M","T","W","T","F","S"),"")</f>
        <v>0</v>
      </c>
      <c r="K4" s="21">
        <f>IF(MONTH(DATE(CalYear,9,9))=9,CHOOSE(WEEKDAY(DATE(CalYear,9,9)),"S","M","T","W","T","F","S"),"")</f>
        <v>0</v>
      </c>
      <c r="L4" s="21">
        <f>IF(MONTH(DATE(CalYear,9,10))=9,CHOOSE(WEEKDAY(DATE(CalYear,9,10)),"S","M","T","W","T","F","S"),"")</f>
        <v>0</v>
      </c>
      <c r="M4" s="21">
        <f>IF(MONTH(DATE(CalYear,9,11))=9,CHOOSE(WEEKDAY(DATE(CalYear,9,11)),"S","M","T","W","T","F","S"),"")</f>
        <v>0</v>
      </c>
      <c r="N4" s="21">
        <f>IF(MONTH(DATE(CalYear,9,12))=9,CHOOSE(WEEKDAY(DATE(CalYear,9,12)),"S","M","T","W","T","F","S"),"")</f>
        <v>0</v>
      </c>
      <c r="O4" s="21">
        <f>IF(MONTH(DATE(CalYear,9,13))=9,CHOOSE(WEEKDAY(DATE(CalYear,9,13)),"S","M","T","W","T","F","S"),"")</f>
        <v>0</v>
      </c>
      <c r="P4" s="21">
        <f>IF(MONTH(DATE(CalYear,9,14))=9,CHOOSE(WEEKDAY(DATE(CalYear,9,14)),"S","M","T","W","T","F","S"),"")</f>
        <v>0</v>
      </c>
      <c r="Q4" s="21">
        <f>IF(MONTH(DATE(CalYear,9,15))=9,CHOOSE(WEEKDAY(DATE(CalYear,9,15)),"S","M","T","W","T","F","S"),"")</f>
        <v>0</v>
      </c>
      <c r="R4" s="21">
        <f>IF(MONTH(DATE(CalYear,9,16))=9,CHOOSE(WEEKDAY(DATE(CalYear,9,16)),"S","M","T","W","T","F","S"),"")</f>
        <v>0</v>
      </c>
      <c r="S4" s="21">
        <f>IF(MONTH(DATE(CalYear,9,17))=9,CHOOSE(WEEKDAY(DATE(CalYear,9,17)),"S","M","T","W","T","F","S"),"")</f>
        <v>0</v>
      </c>
      <c r="T4" s="21">
        <f>IF(MONTH(DATE(CalYear,9,18))=9,CHOOSE(WEEKDAY(DATE(CalYear,9,18)),"S","M","T","W","T","F","S"),"")</f>
        <v>0</v>
      </c>
      <c r="U4" s="21">
        <f>IF(MONTH(DATE(CalYear,9,19))=9,CHOOSE(WEEKDAY(DATE(CalYear,9,19)),"S","M","T","W","T","F","S"),"")</f>
        <v>0</v>
      </c>
      <c r="V4" s="21">
        <f>IF(MONTH(DATE(CalYear,9,20))=9,CHOOSE(WEEKDAY(DATE(CalYear,9,20)),"S","M","T","W","T","F","S"),"")</f>
        <v>0</v>
      </c>
      <c r="W4" s="21">
        <f>IF(MONTH(DATE(CalYear,9,21))=9,CHOOSE(WEEKDAY(DATE(CalYear,9,21)),"S","M","T","W","T","F","S"),"")</f>
        <v>0</v>
      </c>
      <c r="X4" s="21">
        <f>IF(MONTH(DATE(CalYear,9,22))=9,CHOOSE(WEEKDAY(DATE(CalYear,9,22)),"S","M","T","W","T","F","S"),"")</f>
        <v>0</v>
      </c>
      <c r="Y4" s="21">
        <f>IF(MONTH(DATE(CalYear,9,23))=9,CHOOSE(WEEKDAY(DATE(CalYear,9,23)),"S","M","T","W","T","F","S"),"")</f>
        <v>0</v>
      </c>
      <c r="Z4" s="21">
        <f>IF(MONTH(DATE(CalYear,9,24))=9,CHOOSE(WEEKDAY(DATE(CalYear,9,24)),"S","M","T","W","T","F","S"),"")</f>
        <v>0</v>
      </c>
      <c r="AA4" s="21">
        <f>IF(MONTH(DATE(CalYear,9,25))=9,CHOOSE(WEEKDAY(DATE(CalYear,9,25)),"S","M","T","W","T","F","S"),"")</f>
        <v>0</v>
      </c>
      <c r="AB4" s="21">
        <f>IF(MONTH(DATE(CalYear,9,26))=9,CHOOSE(WEEKDAY(DATE(CalYear,9,26)),"S","M","T","W","T","F","S"),"")</f>
        <v>0</v>
      </c>
      <c r="AC4" s="21">
        <f>IF(MONTH(DATE(CalYear,9,27))=9,CHOOSE(WEEKDAY(DATE(CalYear,9,27)),"S","M","T","W","T","F","S"),"")</f>
        <v>0</v>
      </c>
      <c r="AD4" s="21">
        <f>IF(MONTH(DATE(CalYear,9,28))=9,CHOOSE(WEEKDAY(DATE(CalYear,9,28)),"S","M","T","W","T","F","S"),"")</f>
        <v>0</v>
      </c>
      <c r="AE4" s="21">
        <f>IF(MONTH(DATE(CalYear,9,29))=9,CHOOSE(WEEKDAY(DATE(CalYear,9,29)),"S","M","T","W","T","F","S"),"")</f>
        <v>0</v>
      </c>
      <c r="AF4" s="21">
        <f>IF(MONTH(DATE(CalYear,9,30))=9,CHOOSE(WEEKDAY(DATE(CalYear,9,30)),"S","M","T","W","T","F","S"),"")</f>
        <v>0</v>
      </c>
      <c r="AG4" s="21">
        <f>IF(MONTH(DATE(CalYear,9,31))=9,CHOOSE(WEEKDAY(DATE(CalYear,9,31)),"S","M","T","W","T","F","S"),"")</f>
        <v>0</v>
      </c>
      <c r="AI4" s="22" t="s">
        <v>89</v>
      </c>
      <c r="AJ4" s="23" t="s">
        <v>90</v>
      </c>
      <c r="AK4" s="24" t="s">
        <v>91</v>
      </c>
      <c r="AL4" s="25" t="s">
        <v>92</v>
      </c>
      <c r="AM4" s="26" t="s">
        <v>93</v>
      </c>
    </row>
    <row r="5" spans="2:39" ht="18" customHeight="1">
      <c r="B5" s="27" t="s">
        <v>68</v>
      </c>
      <c r="C5" s="28">
        <f>IF(MONTH(DATE(CalYear,9,1))=9,1,"")</f>
        <v>0</v>
      </c>
      <c r="D5" s="28">
        <f>IF(MONTH(DATE(CalYear,9,2))=9,2,"")</f>
        <v>0</v>
      </c>
      <c r="E5" s="28">
        <f>IF(MONTH(DATE(CalYear,9,3))=9,3,"")</f>
        <v>0</v>
      </c>
      <c r="F5" s="28">
        <f>IF(MONTH(DATE(CalYear,9,4))=9,4,"")</f>
        <v>0</v>
      </c>
      <c r="G5" s="28">
        <f>IF(MONTH(DATE(CalYear,9,5))=9,5,"")</f>
        <v>0</v>
      </c>
      <c r="H5" s="28">
        <f>IF(MONTH(DATE(CalYear,9,6))=9,6,"")</f>
        <v>0</v>
      </c>
      <c r="I5" s="28">
        <f>IF(MONTH(DATE(CalYear,9,7))=9,7,"")</f>
        <v>0</v>
      </c>
      <c r="J5" s="28">
        <f>IF(MONTH(DATE(CalYear,9,8))=9,8,"")</f>
        <v>0</v>
      </c>
      <c r="K5" s="28">
        <f>IF(MONTH(DATE(CalYear,9,9))=9,9,"")</f>
        <v>0</v>
      </c>
      <c r="L5" s="28">
        <f>IF(MONTH(DATE(CalYear,9,10))=9,10,"")</f>
        <v>0</v>
      </c>
      <c r="M5" s="28">
        <f>IF(MONTH(DATE(CalYear,9,11))=9,11,"")</f>
        <v>0</v>
      </c>
      <c r="N5" s="28">
        <f>IF(MONTH(DATE(CalYear,9,12))=9,12,"")</f>
        <v>0</v>
      </c>
      <c r="O5" s="28">
        <f>IF(MONTH(DATE(CalYear,9,13))=9,13,"")</f>
        <v>0</v>
      </c>
      <c r="P5" s="28">
        <f>IF(MONTH(DATE(CalYear,9,14))=9,14,"")</f>
        <v>0</v>
      </c>
      <c r="Q5" s="28">
        <f>IF(MONTH(DATE(CalYear,9,15))=9,15,"")</f>
        <v>0</v>
      </c>
      <c r="R5" s="28">
        <f>IF(MONTH(DATE(CalYear,9,16))=9,16,"")</f>
        <v>0</v>
      </c>
      <c r="S5" s="28">
        <f>IF(MONTH(DATE(CalYear,9,17))=9,17,"")</f>
        <v>0</v>
      </c>
      <c r="T5" s="28">
        <f>IF(MONTH(DATE(CalYear,9,18))=9,18,"")</f>
        <v>0</v>
      </c>
      <c r="U5" s="28">
        <f>IF(MONTH(DATE(CalYear,9,19))=9,19,"")</f>
        <v>0</v>
      </c>
      <c r="V5" s="28">
        <f>IF(MONTH(DATE(CalYear,9,20))=9,20,"")</f>
        <v>0</v>
      </c>
      <c r="W5" s="28">
        <f>IF(MONTH(DATE(CalYear,9,21))=9,21,"")</f>
        <v>0</v>
      </c>
      <c r="X5" s="28">
        <f>IF(MONTH(DATE(CalYear,9,22))=9,22,"")</f>
        <v>0</v>
      </c>
      <c r="Y5" s="28">
        <f>IF(MONTH(DATE(CalYear,9,23))=9,23,"")</f>
        <v>0</v>
      </c>
      <c r="Z5" s="28">
        <f>IF(MONTH(DATE(CalYear,9,24))=9,24,"")</f>
        <v>0</v>
      </c>
      <c r="AA5" s="28">
        <f>IF(MONTH(DATE(CalYear,9,25))=9,25,"")</f>
        <v>0</v>
      </c>
      <c r="AB5" s="28">
        <f>IF(MONTH(DATE(CalYear,9,26))=9,26,"")</f>
        <v>0</v>
      </c>
      <c r="AC5" s="28">
        <f>IF(MONTH(DATE(CalYear,9,27))=9,27,"")</f>
        <v>0</v>
      </c>
      <c r="AD5" s="28">
        <f>IF(MONTH(DATE(CalYear,9,28))=9,28,"")</f>
        <v>0</v>
      </c>
      <c r="AE5" s="28">
        <f>IF(MONTH(DATE(CalYear,9,29))=9,29,"")</f>
        <v>0</v>
      </c>
      <c r="AF5" s="28">
        <f>IF(MONTH(DATE(CalYear,9,30))=9,30,"")</f>
        <v>0</v>
      </c>
      <c r="AG5" s="28">
        <f>IF(MONTH(DATE(CalYear,9,31))=9,31,"")</f>
        <v>0</v>
      </c>
      <c r="AI5" s="22"/>
      <c r="AJ5" s="23"/>
      <c r="AK5" s="24"/>
      <c r="AL5" s="25"/>
      <c r="AM5" s="26"/>
    </row>
    <row r="6" spans="2:39" ht="17" customHeight="1">
      <c r="B6" s="29">
        <f>IF(Summary!B6="","",Summary!B6)</f>
        <v>0</v>
      </c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  <c r="AE6" s="30"/>
      <c r="AF6" s="30"/>
      <c r="AG6" s="30"/>
      <c r="AI6" s="31">
        <f>SUMPRODUCT(COUNTIF(C6:AG6,Codes)*(Codes&lt;&gt;"")*(CodeBucket="Vacation")*CodeDays)</f>
        <v>0</v>
      </c>
      <c r="AJ6" s="32">
        <f>SUMPRODUCT(COUNTIF(C6:AG6,Codes)*(Codes&lt;&gt;"")*(CodeBucket="Sick")*CodeDays)</f>
        <v>0</v>
      </c>
      <c r="AK6" s="33">
        <f>SUMPRODUCT(COUNTIF(C6:AG6,Codes)*(Codes&lt;&gt;"")*(CodeBucket="Personal")*CodeDays)</f>
        <v>0</v>
      </c>
      <c r="AL6" s="34">
        <f>SUMPRODUCT(COUNTIF(C6:AG6,Codes)*(Codes&lt;&gt;"")*(CodeBucket="Other")*CodeDays)</f>
        <v>0</v>
      </c>
      <c r="AM6" s="35">
        <f>SUM(AI6:AL6)</f>
        <v>0</v>
      </c>
    </row>
    <row r="7" spans="2:39" ht="17" customHeight="1">
      <c r="B7" s="29">
        <f>IF(Summary!B7="","",Summary!B7)</f>
        <v>0</v>
      </c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  <c r="AB7" s="30"/>
      <c r="AC7" s="30"/>
      <c r="AD7" s="30"/>
      <c r="AE7" s="30"/>
      <c r="AF7" s="30"/>
      <c r="AG7" s="30"/>
      <c r="AI7" s="31">
        <f>SUMPRODUCT(COUNTIF(C7:AG7,Codes)*(Codes&lt;&gt;"")*(CodeBucket="Vacation")*CodeDays)</f>
        <v>0</v>
      </c>
      <c r="AJ7" s="32">
        <f>SUMPRODUCT(COUNTIF(C7:AG7,Codes)*(Codes&lt;&gt;"")*(CodeBucket="Sick")*CodeDays)</f>
        <v>0</v>
      </c>
      <c r="AK7" s="33">
        <f>SUMPRODUCT(COUNTIF(C7:AG7,Codes)*(Codes&lt;&gt;"")*(CodeBucket="Personal")*CodeDays)</f>
        <v>0</v>
      </c>
      <c r="AL7" s="34">
        <f>SUMPRODUCT(COUNTIF(C7:AG7,Codes)*(Codes&lt;&gt;"")*(CodeBucket="Other")*CodeDays)</f>
        <v>0</v>
      </c>
      <c r="AM7" s="35">
        <f>SUM(AI7:AL7)</f>
        <v>0</v>
      </c>
    </row>
    <row r="8" spans="2:39" ht="17" customHeight="1">
      <c r="B8" s="29">
        <f>IF(Summary!B8="","",Summary!B8)</f>
        <v>0</v>
      </c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30"/>
      <c r="AA8" s="30"/>
      <c r="AB8" s="30"/>
      <c r="AC8" s="30"/>
      <c r="AD8" s="30"/>
      <c r="AE8" s="30"/>
      <c r="AF8" s="30"/>
      <c r="AG8" s="30"/>
      <c r="AI8" s="31">
        <f>SUMPRODUCT(COUNTIF(C8:AG8,Codes)*(Codes&lt;&gt;"")*(CodeBucket="Vacation")*CodeDays)</f>
        <v>0</v>
      </c>
      <c r="AJ8" s="32">
        <f>SUMPRODUCT(COUNTIF(C8:AG8,Codes)*(Codes&lt;&gt;"")*(CodeBucket="Sick")*CodeDays)</f>
        <v>0</v>
      </c>
      <c r="AK8" s="33">
        <f>SUMPRODUCT(COUNTIF(C8:AG8,Codes)*(Codes&lt;&gt;"")*(CodeBucket="Personal")*CodeDays)</f>
        <v>0</v>
      </c>
      <c r="AL8" s="34">
        <f>SUMPRODUCT(COUNTIF(C8:AG8,Codes)*(Codes&lt;&gt;"")*(CodeBucket="Other")*CodeDays)</f>
        <v>0</v>
      </c>
      <c r="AM8" s="35">
        <f>SUM(AI8:AL8)</f>
        <v>0</v>
      </c>
    </row>
    <row r="9" spans="2:39" ht="17" customHeight="1">
      <c r="B9" s="29">
        <f>IF(Summary!B9="","",Summary!B9)</f>
        <v>0</v>
      </c>
      <c r="C9" s="30"/>
      <c r="D9" s="30"/>
      <c r="E9" s="30"/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  <c r="AB9" s="30"/>
      <c r="AC9" s="30"/>
      <c r="AD9" s="30"/>
      <c r="AE9" s="30"/>
      <c r="AF9" s="30"/>
      <c r="AG9" s="30"/>
      <c r="AI9" s="31">
        <f>SUMPRODUCT(COUNTIF(C9:AG9,Codes)*(Codes&lt;&gt;"")*(CodeBucket="Vacation")*CodeDays)</f>
        <v>0</v>
      </c>
      <c r="AJ9" s="32">
        <f>SUMPRODUCT(COUNTIF(C9:AG9,Codes)*(Codes&lt;&gt;"")*(CodeBucket="Sick")*CodeDays)</f>
        <v>0</v>
      </c>
      <c r="AK9" s="33">
        <f>SUMPRODUCT(COUNTIF(C9:AG9,Codes)*(Codes&lt;&gt;"")*(CodeBucket="Personal")*CodeDays)</f>
        <v>0</v>
      </c>
      <c r="AL9" s="34">
        <f>SUMPRODUCT(COUNTIF(C9:AG9,Codes)*(Codes&lt;&gt;"")*(CodeBucket="Other")*CodeDays)</f>
        <v>0</v>
      </c>
      <c r="AM9" s="35">
        <f>SUM(AI9:AL9)</f>
        <v>0</v>
      </c>
    </row>
    <row r="10" spans="2:39" ht="17" customHeight="1">
      <c r="B10" s="29">
        <f>IF(Summary!B10="","",Summary!B10)</f>
        <v>0</v>
      </c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  <c r="AA10" s="30"/>
      <c r="AB10" s="30"/>
      <c r="AC10" s="30"/>
      <c r="AD10" s="30"/>
      <c r="AE10" s="30"/>
      <c r="AF10" s="30"/>
      <c r="AG10" s="30"/>
      <c r="AI10" s="31">
        <f>SUMPRODUCT(COUNTIF(C10:AG10,Codes)*(Codes&lt;&gt;"")*(CodeBucket="Vacation")*CodeDays)</f>
        <v>0</v>
      </c>
      <c r="AJ10" s="32">
        <f>SUMPRODUCT(COUNTIF(C10:AG10,Codes)*(Codes&lt;&gt;"")*(CodeBucket="Sick")*CodeDays)</f>
        <v>0</v>
      </c>
      <c r="AK10" s="33">
        <f>SUMPRODUCT(COUNTIF(C10:AG10,Codes)*(Codes&lt;&gt;"")*(CodeBucket="Personal")*CodeDays)</f>
        <v>0</v>
      </c>
      <c r="AL10" s="34">
        <f>SUMPRODUCT(COUNTIF(C10:AG10,Codes)*(Codes&lt;&gt;"")*(CodeBucket="Other")*CodeDays)</f>
        <v>0</v>
      </c>
      <c r="AM10" s="35">
        <f>SUM(AI10:AL10)</f>
        <v>0</v>
      </c>
    </row>
    <row r="11" spans="2:39" ht="17" customHeight="1">
      <c r="B11" s="29">
        <f>IF(Summary!B11="","",Summary!B11)</f>
        <v>0</v>
      </c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  <c r="AA11" s="30"/>
      <c r="AB11" s="30"/>
      <c r="AC11" s="30"/>
      <c r="AD11" s="30"/>
      <c r="AE11" s="30"/>
      <c r="AF11" s="30"/>
      <c r="AG11" s="30"/>
      <c r="AI11" s="31">
        <f>SUMPRODUCT(COUNTIF(C11:AG11,Codes)*(Codes&lt;&gt;"")*(CodeBucket="Vacation")*CodeDays)</f>
        <v>0</v>
      </c>
      <c r="AJ11" s="32">
        <f>SUMPRODUCT(COUNTIF(C11:AG11,Codes)*(Codes&lt;&gt;"")*(CodeBucket="Sick")*CodeDays)</f>
        <v>0</v>
      </c>
      <c r="AK11" s="33">
        <f>SUMPRODUCT(COUNTIF(C11:AG11,Codes)*(Codes&lt;&gt;"")*(CodeBucket="Personal")*CodeDays)</f>
        <v>0</v>
      </c>
      <c r="AL11" s="34">
        <f>SUMPRODUCT(COUNTIF(C11:AG11,Codes)*(Codes&lt;&gt;"")*(CodeBucket="Other")*CodeDays)</f>
        <v>0</v>
      </c>
      <c r="AM11" s="35">
        <f>SUM(AI11:AL11)</f>
        <v>0</v>
      </c>
    </row>
    <row r="12" spans="2:39" ht="17" customHeight="1">
      <c r="B12" s="29">
        <f>IF(Summary!B12="","",Summary!B12)</f>
        <v>0</v>
      </c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0"/>
      <c r="S12" s="30"/>
      <c r="T12" s="30"/>
      <c r="U12" s="30"/>
      <c r="V12" s="30"/>
      <c r="W12" s="30"/>
      <c r="X12" s="30"/>
      <c r="Y12" s="30"/>
      <c r="Z12" s="30"/>
      <c r="AA12" s="30"/>
      <c r="AB12" s="30"/>
      <c r="AC12" s="30"/>
      <c r="AD12" s="30"/>
      <c r="AE12" s="30"/>
      <c r="AF12" s="30"/>
      <c r="AG12" s="30"/>
      <c r="AI12" s="31">
        <f>SUMPRODUCT(COUNTIF(C12:AG12,Codes)*(Codes&lt;&gt;"")*(CodeBucket="Vacation")*CodeDays)</f>
        <v>0</v>
      </c>
      <c r="AJ12" s="32">
        <f>SUMPRODUCT(COUNTIF(C12:AG12,Codes)*(Codes&lt;&gt;"")*(CodeBucket="Sick")*CodeDays)</f>
        <v>0</v>
      </c>
      <c r="AK12" s="33">
        <f>SUMPRODUCT(COUNTIF(C12:AG12,Codes)*(Codes&lt;&gt;"")*(CodeBucket="Personal")*CodeDays)</f>
        <v>0</v>
      </c>
      <c r="AL12" s="34">
        <f>SUMPRODUCT(COUNTIF(C12:AG12,Codes)*(Codes&lt;&gt;"")*(CodeBucket="Other")*CodeDays)</f>
        <v>0</v>
      </c>
      <c r="AM12" s="35">
        <f>SUM(AI12:AL12)</f>
        <v>0</v>
      </c>
    </row>
    <row r="13" spans="2:39" ht="17" customHeight="1">
      <c r="B13" s="29">
        <f>IF(Summary!B13="","",Summary!B13)</f>
        <v>0</v>
      </c>
      <c r="C13" s="30"/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30"/>
      <c r="T13" s="30"/>
      <c r="U13" s="30"/>
      <c r="V13" s="30"/>
      <c r="W13" s="30"/>
      <c r="X13" s="30"/>
      <c r="Y13" s="30"/>
      <c r="Z13" s="30"/>
      <c r="AA13" s="30"/>
      <c r="AB13" s="30"/>
      <c r="AC13" s="30"/>
      <c r="AD13" s="30"/>
      <c r="AE13" s="30"/>
      <c r="AF13" s="30"/>
      <c r="AG13" s="30"/>
      <c r="AI13" s="31">
        <f>SUMPRODUCT(COUNTIF(C13:AG13,Codes)*(Codes&lt;&gt;"")*(CodeBucket="Vacation")*CodeDays)</f>
        <v>0</v>
      </c>
      <c r="AJ13" s="32">
        <f>SUMPRODUCT(COUNTIF(C13:AG13,Codes)*(Codes&lt;&gt;"")*(CodeBucket="Sick")*CodeDays)</f>
        <v>0</v>
      </c>
      <c r="AK13" s="33">
        <f>SUMPRODUCT(COUNTIF(C13:AG13,Codes)*(Codes&lt;&gt;"")*(CodeBucket="Personal")*CodeDays)</f>
        <v>0</v>
      </c>
      <c r="AL13" s="34">
        <f>SUMPRODUCT(COUNTIF(C13:AG13,Codes)*(Codes&lt;&gt;"")*(CodeBucket="Other")*CodeDays)</f>
        <v>0</v>
      </c>
      <c r="AM13" s="35">
        <f>SUM(AI13:AL13)</f>
        <v>0</v>
      </c>
    </row>
    <row r="14" spans="2:39" ht="17" customHeight="1">
      <c r="B14" s="29">
        <f>IF(Summary!B14="","",Summary!B14)</f>
        <v>0</v>
      </c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30"/>
      <c r="U14" s="30"/>
      <c r="V14" s="30"/>
      <c r="W14" s="30"/>
      <c r="X14" s="30"/>
      <c r="Y14" s="30"/>
      <c r="Z14" s="30"/>
      <c r="AA14" s="30"/>
      <c r="AB14" s="30"/>
      <c r="AC14" s="30"/>
      <c r="AD14" s="30"/>
      <c r="AE14" s="30"/>
      <c r="AF14" s="30"/>
      <c r="AG14" s="30"/>
      <c r="AI14" s="31">
        <f>SUMPRODUCT(COUNTIF(C14:AG14,Codes)*(Codes&lt;&gt;"")*(CodeBucket="Vacation")*CodeDays)</f>
        <v>0</v>
      </c>
      <c r="AJ14" s="32">
        <f>SUMPRODUCT(COUNTIF(C14:AG14,Codes)*(Codes&lt;&gt;"")*(CodeBucket="Sick")*CodeDays)</f>
        <v>0</v>
      </c>
      <c r="AK14" s="33">
        <f>SUMPRODUCT(COUNTIF(C14:AG14,Codes)*(Codes&lt;&gt;"")*(CodeBucket="Personal")*CodeDays)</f>
        <v>0</v>
      </c>
      <c r="AL14" s="34">
        <f>SUMPRODUCT(COUNTIF(C14:AG14,Codes)*(Codes&lt;&gt;"")*(CodeBucket="Other")*CodeDays)</f>
        <v>0</v>
      </c>
      <c r="AM14" s="35">
        <f>SUM(AI14:AL14)</f>
        <v>0</v>
      </c>
    </row>
    <row r="15" spans="2:39" ht="17" customHeight="1">
      <c r="B15" s="29">
        <f>IF(Summary!B15="","",Summary!B15)</f>
        <v>0</v>
      </c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0"/>
      <c r="AA15" s="30"/>
      <c r="AB15" s="30"/>
      <c r="AC15" s="30"/>
      <c r="AD15" s="30"/>
      <c r="AE15" s="30"/>
      <c r="AF15" s="30"/>
      <c r="AG15" s="30"/>
      <c r="AI15" s="31">
        <f>SUMPRODUCT(COUNTIF(C15:AG15,Codes)*(Codes&lt;&gt;"")*(CodeBucket="Vacation")*CodeDays)</f>
        <v>0</v>
      </c>
      <c r="AJ15" s="32">
        <f>SUMPRODUCT(COUNTIF(C15:AG15,Codes)*(Codes&lt;&gt;"")*(CodeBucket="Sick")*CodeDays)</f>
        <v>0</v>
      </c>
      <c r="AK15" s="33">
        <f>SUMPRODUCT(COUNTIF(C15:AG15,Codes)*(Codes&lt;&gt;"")*(CodeBucket="Personal")*CodeDays)</f>
        <v>0</v>
      </c>
      <c r="AL15" s="34">
        <f>SUMPRODUCT(COUNTIF(C15:AG15,Codes)*(Codes&lt;&gt;"")*(CodeBucket="Other")*CodeDays)</f>
        <v>0</v>
      </c>
      <c r="AM15" s="35">
        <f>SUM(AI15:AL15)</f>
        <v>0</v>
      </c>
    </row>
    <row r="16" spans="2:39" ht="17" customHeight="1">
      <c r="B16" s="29">
        <f>IF(Summary!B16="","",Summary!B16)</f>
        <v>0</v>
      </c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0"/>
      <c r="R16" s="30"/>
      <c r="S16" s="30"/>
      <c r="T16" s="30"/>
      <c r="U16" s="30"/>
      <c r="V16" s="30"/>
      <c r="W16" s="30"/>
      <c r="X16" s="30"/>
      <c r="Y16" s="30"/>
      <c r="Z16" s="30"/>
      <c r="AA16" s="30"/>
      <c r="AB16" s="30"/>
      <c r="AC16" s="30"/>
      <c r="AD16" s="30"/>
      <c r="AE16" s="30"/>
      <c r="AF16" s="30"/>
      <c r="AG16" s="30"/>
      <c r="AI16" s="31">
        <f>SUMPRODUCT(COUNTIF(C16:AG16,Codes)*(Codes&lt;&gt;"")*(CodeBucket="Vacation")*CodeDays)</f>
        <v>0</v>
      </c>
      <c r="AJ16" s="32">
        <f>SUMPRODUCT(COUNTIF(C16:AG16,Codes)*(Codes&lt;&gt;"")*(CodeBucket="Sick")*CodeDays)</f>
        <v>0</v>
      </c>
      <c r="AK16" s="33">
        <f>SUMPRODUCT(COUNTIF(C16:AG16,Codes)*(Codes&lt;&gt;"")*(CodeBucket="Personal")*CodeDays)</f>
        <v>0</v>
      </c>
      <c r="AL16" s="34">
        <f>SUMPRODUCT(COUNTIF(C16:AG16,Codes)*(Codes&lt;&gt;"")*(CodeBucket="Other")*CodeDays)</f>
        <v>0</v>
      </c>
      <c r="AM16" s="35">
        <f>SUM(AI16:AL16)</f>
        <v>0</v>
      </c>
    </row>
    <row r="17" spans="2:39" ht="17" customHeight="1">
      <c r="B17" s="29">
        <f>IF(Summary!B17="","",Summary!B17)</f>
        <v>0</v>
      </c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  <c r="O17" s="30"/>
      <c r="P17" s="30"/>
      <c r="Q17" s="30"/>
      <c r="R17" s="30"/>
      <c r="S17" s="30"/>
      <c r="T17" s="30"/>
      <c r="U17" s="30"/>
      <c r="V17" s="30"/>
      <c r="W17" s="30"/>
      <c r="X17" s="30"/>
      <c r="Y17" s="30"/>
      <c r="Z17" s="30"/>
      <c r="AA17" s="30"/>
      <c r="AB17" s="30"/>
      <c r="AC17" s="30"/>
      <c r="AD17" s="30"/>
      <c r="AE17" s="30"/>
      <c r="AF17" s="30"/>
      <c r="AG17" s="30"/>
      <c r="AI17" s="31">
        <f>SUMPRODUCT(COUNTIF(C17:AG17,Codes)*(Codes&lt;&gt;"")*(CodeBucket="Vacation")*CodeDays)</f>
        <v>0</v>
      </c>
      <c r="AJ17" s="32">
        <f>SUMPRODUCT(COUNTIF(C17:AG17,Codes)*(Codes&lt;&gt;"")*(CodeBucket="Sick")*CodeDays)</f>
        <v>0</v>
      </c>
      <c r="AK17" s="33">
        <f>SUMPRODUCT(COUNTIF(C17:AG17,Codes)*(Codes&lt;&gt;"")*(CodeBucket="Personal")*CodeDays)</f>
        <v>0</v>
      </c>
      <c r="AL17" s="34">
        <f>SUMPRODUCT(COUNTIF(C17:AG17,Codes)*(Codes&lt;&gt;"")*(CodeBucket="Other")*CodeDays)</f>
        <v>0</v>
      </c>
      <c r="AM17" s="35">
        <f>SUM(AI17:AL17)</f>
        <v>0</v>
      </c>
    </row>
    <row r="18" spans="2:39" ht="17" customHeight="1">
      <c r="B18" s="29">
        <f>IF(Summary!B18="","",Summary!B18)</f>
        <v>0</v>
      </c>
      <c r="C18" s="30"/>
      <c r="D18" s="30"/>
      <c r="E18" s="30"/>
      <c r="F18" s="30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30"/>
      <c r="R18" s="30"/>
      <c r="S18" s="30"/>
      <c r="T18" s="30"/>
      <c r="U18" s="30"/>
      <c r="V18" s="30"/>
      <c r="W18" s="30"/>
      <c r="X18" s="30"/>
      <c r="Y18" s="30"/>
      <c r="Z18" s="30"/>
      <c r="AA18" s="30"/>
      <c r="AB18" s="30"/>
      <c r="AC18" s="30"/>
      <c r="AD18" s="30"/>
      <c r="AE18" s="30"/>
      <c r="AF18" s="30"/>
      <c r="AG18" s="30"/>
      <c r="AI18" s="31">
        <f>SUMPRODUCT(COUNTIF(C18:AG18,Codes)*(Codes&lt;&gt;"")*(CodeBucket="Vacation")*CodeDays)</f>
        <v>0</v>
      </c>
      <c r="AJ18" s="32">
        <f>SUMPRODUCT(COUNTIF(C18:AG18,Codes)*(Codes&lt;&gt;"")*(CodeBucket="Sick")*CodeDays)</f>
        <v>0</v>
      </c>
      <c r="AK18" s="33">
        <f>SUMPRODUCT(COUNTIF(C18:AG18,Codes)*(Codes&lt;&gt;"")*(CodeBucket="Personal")*CodeDays)</f>
        <v>0</v>
      </c>
      <c r="AL18" s="34">
        <f>SUMPRODUCT(COUNTIF(C18:AG18,Codes)*(Codes&lt;&gt;"")*(CodeBucket="Other")*CodeDays)</f>
        <v>0</v>
      </c>
      <c r="AM18" s="35">
        <f>SUM(AI18:AL18)</f>
        <v>0</v>
      </c>
    </row>
    <row r="19" spans="2:39" ht="17" customHeight="1">
      <c r="B19" s="29">
        <f>IF(Summary!B19="","",Summary!B19)</f>
        <v>0</v>
      </c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30"/>
      <c r="AE19" s="30"/>
      <c r="AF19" s="30"/>
      <c r="AG19" s="30"/>
      <c r="AI19" s="31">
        <f>SUMPRODUCT(COUNTIF(C19:AG19,Codes)*(Codes&lt;&gt;"")*(CodeBucket="Vacation")*CodeDays)</f>
        <v>0</v>
      </c>
      <c r="AJ19" s="32">
        <f>SUMPRODUCT(COUNTIF(C19:AG19,Codes)*(Codes&lt;&gt;"")*(CodeBucket="Sick")*CodeDays)</f>
        <v>0</v>
      </c>
      <c r="AK19" s="33">
        <f>SUMPRODUCT(COUNTIF(C19:AG19,Codes)*(Codes&lt;&gt;"")*(CodeBucket="Personal")*CodeDays)</f>
        <v>0</v>
      </c>
      <c r="AL19" s="34">
        <f>SUMPRODUCT(COUNTIF(C19:AG19,Codes)*(Codes&lt;&gt;"")*(CodeBucket="Other")*CodeDays)</f>
        <v>0</v>
      </c>
      <c r="AM19" s="35">
        <f>SUM(AI19:AL19)</f>
        <v>0</v>
      </c>
    </row>
    <row r="20" spans="2:39" ht="17" customHeight="1">
      <c r="B20" s="29">
        <f>IF(Summary!B20="","",Summary!B20)</f>
        <v>0</v>
      </c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0"/>
      <c r="V20" s="30"/>
      <c r="W20" s="30"/>
      <c r="X20" s="30"/>
      <c r="Y20" s="30"/>
      <c r="Z20" s="30"/>
      <c r="AA20" s="30"/>
      <c r="AB20" s="30"/>
      <c r="AC20" s="30"/>
      <c r="AD20" s="30"/>
      <c r="AE20" s="30"/>
      <c r="AF20" s="30"/>
      <c r="AG20" s="30"/>
      <c r="AI20" s="31">
        <f>SUMPRODUCT(COUNTIF(C20:AG20,Codes)*(Codes&lt;&gt;"")*(CodeBucket="Vacation")*CodeDays)</f>
        <v>0</v>
      </c>
      <c r="AJ20" s="32">
        <f>SUMPRODUCT(COUNTIF(C20:AG20,Codes)*(Codes&lt;&gt;"")*(CodeBucket="Sick")*CodeDays)</f>
        <v>0</v>
      </c>
      <c r="AK20" s="33">
        <f>SUMPRODUCT(COUNTIF(C20:AG20,Codes)*(Codes&lt;&gt;"")*(CodeBucket="Personal")*CodeDays)</f>
        <v>0</v>
      </c>
      <c r="AL20" s="34">
        <f>SUMPRODUCT(COUNTIF(C20:AG20,Codes)*(Codes&lt;&gt;"")*(CodeBucket="Other")*CodeDays)</f>
        <v>0</v>
      </c>
      <c r="AM20" s="35">
        <f>SUM(AI20:AL20)</f>
        <v>0</v>
      </c>
    </row>
    <row r="21" spans="2:39" ht="17" customHeight="1">
      <c r="B21" s="29">
        <f>IF(Summary!B21="","",Summary!B21)</f>
        <v>0</v>
      </c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0"/>
      <c r="P21" s="30"/>
      <c r="Q21" s="30"/>
      <c r="R21" s="30"/>
      <c r="S21" s="30"/>
      <c r="T21" s="30"/>
      <c r="U21" s="30"/>
      <c r="V21" s="30"/>
      <c r="W21" s="30"/>
      <c r="X21" s="30"/>
      <c r="Y21" s="30"/>
      <c r="Z21" s="30"/>
      <c r="AA21" s="30"/>
      <c r="AB21" s="30"/>
      <c r="AC21" s="30"/>
      <c r="AD21" s="30"/>
      <c r="AE21" s="30"/>
      <c r="AF21" s="30"/>
      <c r="AG21" s="30"/>
      <c r="AI21" s="31">
        <f>SUMPRODUCT(COUNTIF(C21:AG21,Codes)*(Codes&lt;&gt;"")*(CodeBucket="Vacation")*CodeDays)</f>
        <v>0</v>
      </c>
      <c r="AJ21" s="32">
        <f>SUMPRODUCT(COUNTIF(C21:AG21,Codes)*(Codes&lt;&gt;"")*(CodeBucket="Sick")*CodeDays)</f>
        <v>0</v>
      </c>
      <c r="AK21" s="33">
        <f>SUMPRODUCT(COUNTIF(C21:AG21,Codes)*(Codes&lt;&gt;"")*(CodeBucket="Personal")*CodeDays)</f>
        <v>0</v>
      </c>
      <c r="AL21" s="34">
        <f>SUMPRODUCT(COUNTIF(C21:AG21,Codes)*(Codes&lt;&gt;"")*(CodeBucket="Other")*CodeDays)</f>
        <v>0</v>
      </c>
      <c r="AM21" s="35">
        <f>SUM(AI21:AL21)</f>
        <v>0</v>
      </c>
    </row>
    <row r="22" spans="2:39" ht="17" customHeight="1">
      <c r="B22" s="29">
        <f>IF(Summary!B22="","",Summary!B22)</f>
        <v>0</v>
      </c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0"/>
      <c r="W22" s="30"/>
      <c r="X22" s="30"/>
      <c r="Y22" s="30"/>
      <c r="Z22" s="30"/>
      <c r="AA22" s="30"/>
      <c r="AB22" s="30"/>
      <c r="AC22" s="30"/>
      <c r="AD22" s="30"/>
      <c r="AE22" s="30"/>
      <c r="AF22" s="30"/>
      <c r="AG22" s="30"/>
      <c r="AI22" s="31">
        <f>SUMPRODUCT(COUNTIF(C22:AG22,Codes)*(Codes&lt;&gt;"")*(CodeBucket="Vacation")*CodeDays)</f>
        <v>0</v>
      </c>
      <c r="AJ22" s="32">
        <f>SUMPRODUCT(COUNTIF(C22:AG22,Codes)*(Codes&lt;&gt;"")*(CodeBucket="Sick")*CodeDays)</f>
        <v>0</v>
      </c>
      <c r="AK22" s="33">
        <f>SUMPRODUCT(COUNTIF(C22:AG22,Codes)*(Codes&lt;&gt;"")*(CodeBucket="Personal")*CodeDays)</f>
        <v>0</v>
      </c>
      <c r="AL22" s="34">
        <f>SUMPRODUCT(COUNTIF(C22:AG22,Codes)*(Codes&lt;&gt;"")*(CodeBucket="Other")*CodeDays)</f>
        <v>0</v>
      </c>
      <c r="AM22" s="35">
        <f>SUM(AI22:AL22)</f>
        <v>0</v>
      </c>
    </row>
    <row r="23" spans="2:39" ht="17" customHeight="1">
      <c r="B23" s="29">
        <f>IF(Summary!B23="","",Summary!B23)</f>
        <v>0</v>
      </c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30"/>
      <c r="S23" s="30"/>
      <c r="T23" s="30"/>
      <c r="U23" s="30"/>
      <c r="V23" s="30"/>
      <c r="W23" s="30"/>
      <c r="X23" s="30"/>
      <c r="Y23" s="30"/>
      <c r="Z23" s="30"/>
      <c r="AA23" s="30"/>
      <c r="AB23" s="30"/>
      <c r="AC23" s="30"/>
      <c r="AD23" s="30"/>
      <c r="AE23" s="30"/>
      <c r="AF23" s="30"/>
      <c r="AG23" s="30"/>
      <c r="AI23" s="31">
        <f>SUMPRODUCT(COUNTIF(C23:AG23,Codes)*(Codes&lt;&gt;"")*(CodeBucket="Vacation")*CodeDays)</f>
        <v>0</v>
      </c>
      <c r="AJ23" s="32">
        <f>SUMPRODUCT(COUNTIF(C23:AG23,Codes)*(Codes&lt;&gt;"")*(CodeBucket="Sick")*CodeDays)</f>
        <v>0</v>
      </c>
      <c r="AK23" s="33">
        <f>SUMPRODUCT(COUNTIF(C23:AG23,Codes)*(Codes&lt;&gt;"")*(CodeBucket="Personal")*CodeDays)</f>
        <v>0</v>
      </c>
      <c r="AL23" s="34">
        <f>SUMPRODUCT(COUNTIF(C23:AG23,Codes)*(Codes&lt;&gt;"")*(CodeBucket="Other")*CodeDays)</f>
        <v>0</v>
      </c>
      <c r="AM23" s="35">
        <f>SUM(AI23:AL23)</f>
        <v>0</v>
      </c>
    </row>
    <row r="24" spans="2:39" ht="17" customHeight="1">
      <c r="B24" s="29">
        <f>IF(Summary!B24="","",Summary!B24)</f>
        <v>0</v>
      </c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30"/>
      <c r="S24" s="30"/>
      <c r="T24" s="30"/>
      <c r="U24" s="30"/>
      <c r="V24" s="30"/>
      <c r="W24" s="30"/>
      <c r="X24" s="30"/>
      <c r="Y24" s="30"/>
      <c r="Z24" s="30"/>
      <c r="AA24" s="30"/>
      <c r="AB24" s="30"/>
      <c r="AC24" s="30"/>
      <c r="AD24" s="30"/>
      <c r="AE24" s="30"/>
      <c r="AF24" s="30"/>
      <c r="AG24" s="30"/>
      <c r="AI24" s="31">
        <f>SUMPRODUCT(COUNTIF(C24:AG24,Codes)*(Codes&lt;&gt;"")*(CodeBucket="Vacation")*CodeDays)</f>
        <v>0</v>
      </c>
      <c r="AJ24" s="32">
        <f>SUMPRODUCT(COUNTIF(C24:AG24,Codes)*(Codes&lt;&gt;"")*(CodeBucket="Sick")*CodeDays)</f>
        <v>0</v>
      </c>
      <c r="AK24" s="33">
        <f>SUMPRODUCT(COUNTIF(C24:AG24,Codes)*(Codes&lt;&gt;"")*(CodeBucket="Personal")*CodeDays)</f>
        <v>0</v>
      </c>
      <c r="AL24" s="34">
        <f>SUMPRODUCT(COUNTIF(C24:AG24,Codes)*(Codes&lt;&gt;"")*(CodeBucket="Other")*CodeDays)</f>
        <v>0</v>
      </c>
      <c r="AM24" s="35">
        <f>SUM(AI24:AL24)</f>
        <v>0</v>
      </c>
    </row>
    <row r="25" spans="2:39" ht="17" customHeight="1">
      <c r="B25" s="29">
        <f>IF(Summary!B25="","",Summary!B25)</f>
        <v>0</v>
      </c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I25" s="31">
        <f>SUMPRODUCT(COUNTIF(C25:AG25,Codes)*(Codes&lt;&gt;"")*(CodeBucket="Vacation")*CodeDays)</f>
        <v>0</v>
      </c>
      <c r="AJ25" s="32">
        <f>SUMPRODUCT(COUNTIF(C25:AG25,Codes)*(Codes&lt;&gt;"")*(CodeBucket="Sick")*CodeDays)</f>
        <v>0</v>
      </c>
      <c r="AK25" s="33">
        <f>SUMPRODUCT(COUNTIF(C25:AG25,Codes)*(Codes&lt;&gt;"")*(CodeBucket="Personal")*CodeDays)</f>
        <v>0</v>
      </c>
      <c r="AL25" s="34">
        <f>SUMPRODUCT(COUNTIF(C25:AG25,Codes)*(Codes&lt;&gt;"")*(CodeBucket="Other")*CodeDays)</f>
        <v>0</v>
      </c>
      <c r="AM25" s="35">
        <f>SUM(AI25:AL25)</f>
        <v>0</v>
      </c>
    </row>
    <row r="26" spans="2:39" ht="17" customHeight="1">
      <c r="B26" s="29">
        <f>IF(Summary!B26="","",Summary!B26)</f>
        <v>0</v>
      </c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I26" s="31">
        <f>SUMPRODUCT(COUNTIF(C26:AG26,Codes)*(Codes&lt;&gt;"")*(CodeBucket="Vacation")*CodeDays)</f>
        <v>0</v>
      </c>
      <c r="AJ26" s="32">
        <f>SUMPRODUCT(COUNTIF(C26:AG26,Codes)*(Codes&lt;&gt;"")*(CodeBucket="Sick")*CodeDays)</f>
        <v>0</v>
      </c>
      <c r="AK26" s="33">
        <f>SUMPRODUCT(COUNTIF(C26:AG26,Codes)*(Codes&lt;&gt;"")*(CodeBucket="Personal")*CodeDays)</f>
        <v>0</v>
      </c>
      <c r="AL26" s="34">
        <f>SUMPRODUCT(COUNTIF(C26:AG26,Codes)*(Codes&lt;&gt;"")*(CodeBucket="Other")*CodeDays)</f>
        <v>0</v>
      </c>
      <c r="AM26" s="35">
        <f>SUM(AI26:AL26)</f>
        <v>0</v>
      </c>
    </row>
    <row r="27" spans="2:39" ht="17" customHeight="1">
      <c r="B27" s="29">
        <f>IF(Summary!B27="","",Summary!B27)</f>
        <v>0</v>
      </c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  <c r="AD27" s="30"/>
      <c r="AE27" s="30"/>
      <c r="AF27" s="30"/>
      <c r="AG27" s="30"/>
      <c r="AI27" s="31">
        <f>SUMPRODUCT(COUNTIF(C27:AG27,Codes)*(Codes&lt;&gt;"")*(CodeBucket="Vacation")*CodeDays)</f>
        <v>0</v>
      </c>
      <c r="AJ27" s="32">
        <f>SUMPRODUCT(COUNTIF(C27:AG27,Codes)*(Codes&lt;&gt;"")*(CodeBucket="Sick")*CodeDays)</f>
        <v>0</v>
      </c>
      <c r="AK27" s="33">
        <f>SUMPRODUCT(COUNTIF(C27:AG27,Codes)*(Codes&lt;&gt;"")*(CodeBucket="Personal")*CodeDays)</f>
        <v>0</v>
      </c>
      <c r="AL27" s="34">
        <f>SUMPRODUCT(COUNTIF(C27:AG27,Codes)*(Codes&lt;&gt;"")*(CodeBucket="Other")*CodeDays)</f>
        <v>0</v>
      </c>
      <c r="AM27" s="35">
        <f>SUM(AI27:AL27)</f>
        <v>0</v>
      </c>
    </row>
    <row r="28" spans="2:39" ht="17" customHeight="1">
      <c r="B28" s="29">
        <f>IF(Summary!B28="","",Summary!B28)</f>
        <v>0</v>
      </c>
      <c r="C28" s="30"/>
      <c r="D28" s="30"/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0"/>
      <c r="P28" s="30"/>
      <c r="Q28" s="30"/>
      <c r="R28" s="30"/>
      <c r="S28" s="30"/>
      <c r="T28" s="30"/>
      <c r="U28" s="30"/>
      <c r="V28" s="30"/>
      <c r="W28" s="30"/>
      <c r="X28" s="30"/>
      <c r="Y28" s="30"/>
      <c r="Z28" s="30"/>
      <c r="AA28" s="30"/>
      <c r="AB28" s="30"/>
      <c r="AC28" s="30"/>
      <c r="AD28" s="30"/>
      <c r="AE28" s="30"/>
      <c r="AF28" s="30"/>
      <c r="AG28" s="30"/>
      <c r="AI28" s="31">
        <f>SUMPRODUCT(COUNTIF(C28:AG28,Codes)*(Codes&lt;&gt;"")*(CodeBucket="Vacation")*CodeDays)</f>
        <v>0</v>
      </c>
      <c r="AJ28" s="32">
        <f>SUMPRODUCT(COUNTIF(C28:AG28,Codes)*(Codes&lt;&gt;"")*(CodeBucket="Sick")*CodeDays)</f>
        <v>0</v>
      </c>
      <c r="AK28" s="33">
        <f>SUMPRODUCT(COUNTIF(C28:AG28,Codes)*(Codes&lt;&gt;"")*(CodeBucket="Personal")*CodeDays)</f>
        <v>0</v>
      </c>
      <c r="AL28" s="34">
        <f>SUMPRODUCT(COUNTIF(C28:AG28,Codes)*(Codes&lt;&gt;"")*(CodeBucket="Other")*CodeDays)</f>
        <v>0</v>
      </c>
      <c r="AM28" s="35">
        <f>SUM(AI28:AL28)</f>
        <v>0</v>
      </c>
    </row>
    <row r="29" spans="2:39" ht="17" customHeight="1">
      <c r="B29" s="29">
        <f>IF(Summary!B29="","",Summary!B29)</f>
        <v>0</v>
      </c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30"/>
      <c r="AD29" s="30"/>
      <c r="AE29" s="30"/>
      <c r="AF29" s="30"/>
      <c r="AG29" s="30"/>
      <c r="AI29" s="31">
        <f>SUMPRODUCT(COUNTIF(C29:AG29,Codes)*(Codes&lt;&gt;"")*(CodeBucket="Vacation")*CodeDays)</f>
        <v>0</v>
      </c>
      <c r="AJ29" s="32">
        <f>SUMPRODUCT(COUNTIF(C29:AG29,Codes)*(Codes&lt;&gt;"")*(CodeBucket="Sick")*CodeDays)</f>
        <v>0</v>
      </c>
      <c r="AK29" s="33">
        <f>SUMPRODUCT(COUNTIF(C29:AG29,Codes)*(Codes&lt;&gt;"")*(CodeBucket="Personal")*CodeDays)</f>
        <v>0</v>
      </c>
      <c r="AL29" s="34">
        <f>SUMPRODUCT(COUNTIF(C29:AG29,Codes)*(Codes&lt;&gt;"")*(CodeBucket="Other")*CodeDays)</f>
        <v>0</v>
      </c>
      <c r="AM29" s="35">
        <f>SUM(AI29:AL29)</f>
        <v>0</v>
      </c>
    </row>
    <row r="30" spans="2:39" ht="17" customHeight="1">
      <c r="B30" s="29">
        <f>IF(Summary!B30="","",Summary!B30)</f>
        <v>0</v>
      </c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  <c r="AF30" s="30"/>
      <c r="AG30" s="30"/>
      <c r="AI30" s="31">
        <f>SUMPRODUCT(COUNTIF(C30:AG30,Codes)*(Codes&lt;&gt;"")*(CodeBucket="Vacation")*CodeDays)</f>
        <v>0</v>
      </c>
      <c r="AJ30" s="32">
        <f>SUMPRODUCT(COUNTIF(C30:AG30,Codes)*(Codes&lt;&gt;"")*(CodeBucket="Sick")*CodeDays)</f>
        <v>0</v>
      </c>
      <c r="AK30" s="33">
        <f>SUMPRODUCT(COUNTIF(C30:AG30,Codes)*(Codes&lt;&gt;"")*(CodeBucket="Personal")*CodeDays)</f>
        <v>0</v>
      </c>
      <c r="AL30" s="34">
        <f>SUMPRODUCT(COUNTIF(C30:AG30,Codes)*(Codes&lt;&gt;"")*(CodeBucket="Other")*CodeDays)</f>
        <v>0</v>
      </c>
      <c r="AM30" s="35">
        <f>SUM(AI30:AL30)</f>
        <v>0</v>
      </c>
    </row>
    <row r="31" spans="2:39" ht="16" customHeight="1">
      <c r="B31" s="36" t="s">
        <v>94</v>
      </c>
      <c r="C31" s="37">
        <f>IF(COUNTA(C6:C30)=0,"",COUNTA(C6:C30))</f>
        <v>0</v>
      </c>
      <c r="D31" s="37">
        <f>IF(COUNTA(D6:D30)=0,"",COUNTA(D6:D30))</f>
        <v>0</v>
      </c>
      <c r="E31" s="37">
        <f>IF(COUNTA(E6:E30)=0,"",COUNTA(E6:E30))</f>
        <v>0</v>
      </c>
      <c r="F31" s="37">
        <f>IF(COUNTA(F6:F30)=0,"",COUNTA(F6:F30))</f>
        <v>0</v>
      </c>
      <c r="G31" s="37">
        <f>IF(COUNTA(G6:G30)=0,"",COUNTA(G6:G30))</f>
        <v>0</v>
      </c>
      <c r="H31" s="37">
        <f>IF(COUNTA(H6:H30)=0,"",COUNTA(H6:H30))</f>
        <v>0</v>
      </c>
      <c r="I31" s="37">
        <f>IF(COUNTA(I6:I30)=0,"",COUNTA(I6:I30))</f>
        <v>0</v>
      </c>
      <c r="J31" s="37">
        <f>IF(COUNTA(J6:J30)=0,"",COUNTA(J6:J30))</f>
        <v>0</v>
      </c>
      <c r="K31" s="37">
        <f>IF(COUNTA(K6:K30)=0,"",COUNTA(K6:K30))</f>
        <v>0</v>
      </c>
      <c r="L31" s="37">
        <f>IF(COUNTA(L6:L30)=0,"",COUNTA(L6:L30))</f>
        <v>0</v>
      </c>
      <c r="M31" s="37">
        <f>IF(COUNTA(M6:M30)=0,"",COUNTA(M6:M30))</f>
        <v>0</v>
      </c>
      <c r="N31" s="37">
        <f>IF(COUNTA(N6:N30)=0,"",COUNTA(N6:N30))</f>
        <v>0</v>
      </c>
      <c r="O31" s="37">
        <f>IF(COUNTA(O6:O30)=0,"",COUNTA(O6:O30))</f>
        <v>0</v>
      </c>
      <c r="P31" s="37">
        <f>IF(COUNTA(P6:P30)=0,"",COUNTA(P6:P30))</f>
        <v>0</v>
      </c>
      <c r="Q31" s="37">
        <f>IF(COUNTA(Q6:Q30)=0,"",COUNTA(Q6:Q30))</f>
        <v>0</v>
      </c>
      <c r="R31" s="37">
        <f>IF(COUNTA(R6:R30)=0,"",COUNTA(R6:R30))</f>
        <v>0</v>
      </c>
      <c r="S31" s="37">
        <f>IF(COUNTA(S6:S30)=0,"",COUNTA(S6:S30))</f>
        <v>0</v>
      </c>
      <c r="T31" s="37">
        <f>IF(COUNTA(T6:T30)=0,"",COUNTA(T6:T30))</f>
        <v>0</v>
      </c>
      <c r="U31" s="37">
        <f>IF(COUNTA(U6:U30)=0,"",COUNTA(U6:U30))</f>
        <v>0</v>
      </c>
      <c r="V31" s="37">
        <f>IF(COUNTA(V6:V30)=0,"",COUNTA(V6:V30))</f>
        <v>0</v>
      </c>
      <c r="W31" s="37">
        <f>IF(COUNTA(W6:W30)=0,"",COUNTA(W6:W30))</f>
        <v>0</v>
      </c>
      <c r="X31" s="37">
        <f>IF(COUNTA(X6:X30)=0,"",COUNTA(X6:X30))</f>
        <v>0</v>
      </c>
      <c r="Y31" s="37">
        <f>IF(COUNTA(Y6:Y30)=0,"",COUNTA(Y6:Y30))</f>
        <v>0</v>
      </c>
      <c r="Z31" s="37">
        <f>IF(COUNTA(Z6:Z30)=0,"",COUNTA(Z6:Z30))</f>
        <v>0</v>
      </c>
      <c r="AA31" s="37">
        <f>IF(COUNTA(AA6:AA30)=0,"",COUNTA(AA6:AA30))</f>
        <v>0</v>
      </c>
      <c r="AB31" s="37">
        <f>IF(COUNTA(AB6:AB30)=0,"",COUNTA(AB6:AB30))</f>
        <v>0</v>
      </c>
      <c r="AC31" s="37">
        <f>IF(COUNTA(AC6:AC30)=0,"",COUNTA(AC6:AC30))</f>
        <v>0</v>
      </c>
      <c r="AD31" s="37">
        <f>IF(COUNTA(AD6:AD30)=0,"",COUNTA(AD6:AD30))</f>
        <v>0</v>
      </c>
      <c r="AE31" s="37">
        <f>IF(COUNTA(AE6:AE30)=0,"",COUNTA(AE6:AE30))</f>
        <v>0</v>
      </c>
      <c r="AF31" s="37">
        <f>IF(COUNTA(AF6:AF30)=0,"",COUNTA(AF6:AF30))</f>
        <v>0</v>
      </c>
      <c r="AG31" s="37">
        <f>IF(COUNTA(AG6:AG30)=0,"",COUNTA(AG6:AG30))</f>
        <v>0</v>
      </c>
    </row>
    <row r="33" spans="2:39">
      <c r="B33" s="38" t="s">
        <v>95</v>
      </c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8"/>
      <c r="AG33" s="38"/>
      <c r="AH33" s="38"/>
      <c r="AI33" s="38"/>
      <c r="AJ33" s="38"/>
      <c r="AK33" s="38"/>
      <c r="AL33" s="38"/>
      <c r="AM33" s="38"/>
    </row>
  </sheetData>
  <mergeCells count="9">
    <mergeCell ref="B2:I2"/>
    <mergeCell ref="J2:N2"/>
    <mergeCell ref="P2:AM2"/>
    <mergeCell ref="AI4:AI5"/>
    <mergeCell ref="AJ4:AJ5"/>
    <mergeCell ref="AK4:AK5"/>
    <mergeCell ref="AL4:AL5"/>
    <mergeCell ref="AM4:AM5"/>
    <mergeCell ref="B33:AM33"/>
  </mergeCells>
  <conditionalFormatting sqref="C4:AG5">
    <cfRule type="expression" dxfId="7" priority="8">
      <formula>AND(MONTH(DATE(CalYear,9,COLUMN()-2))=9,COUNTIFS(INDIRECT("Holidays!$C$6:$C$60"),DATE(CalYear,9,COLUMN()-2),INDIRECT("Holidays!$D$6:$D$60"),"Holiday")&gt;0)</formula>
    </cfRule>
  </conditionalFormatting>
  <conditionalFormatting sqref="C6:AG30">
    <cfRule type="expression" dxfId="0" priority="1" stopIfTrue="1">
      <formula>MONTH(DATE(CalYear,9,COLUMN()-2))&lt;&gt;9</formula>
    </cfRule>
    <cfRule type="expression" dxfId="1" priority="2" stopIfTrue="1">
      <formula>AND(C6&lt;&gt;"",COUNTIFS(INDIRECT("Setup!$B$9:$B$22"),C6,INDIRECT("Setup!$E$9:$E$22"),"Vacation")&gt;0)</formula>
    </cfRule>
    <cfRule type="expression" dxfId="2" priority="3" stopIfTrue="1">
      <formula>AND(C6&lt;&gt;"",COUNTIFS(INDIRECT("Setup!$B$9:$B$22"),C6,INDIRECT("Setup!$E$9:$E$22"),"Sick")&gt;0)</formula>
    </cfRule>
    <cfRule type="expression" dxfId="3" priority="4" stopIfTrue="1">
      <formula>AND(C6&lt;&gt;"",COUNTIFS(INDIRECT("Setup!$B$9:$B$22"),C6,INDIRECT("Setup!$E$9:$E$22"),"Personal")&gt;0)</formula>
    </cfRule>
    <cfRule type="expression" dxfId="4" priority="5" stopIfTrue="1">
      <formula>AND(C6&lt;&gt;"",COUNTIFS(INDIRECT("Setup!$B$9:$B$22"),C6,INDIRECT("Setup!$E$9:$E$22"),"Other")&gt;0)</formula>
    </cfRule>
    <cfRule type="expression" dxfId="5" priority="6" stopIfTrue="1">
      <formula>COUNTIFS(INDIRECT("Holidays!$C$6:$C$60"),DATE(CalYear,9,COLUMN()-2),INDIRECT("Holidays!$D$6:$D$60"),"Holiday")&gt;0</formula>
    </cfRule>
    <cfRule type="expression" dxfId="6" priority="7" stopIfTrue="1">
      <formula>OR(WEEKDAY(DATE(CalYear,9,COLUMN()-2))=1,WEEKDAY(DATE(CalYear,9,COLUMN()-2))=7)</formula>
    </cfRule>
  </conditionalFormatting>
  <dataValidations count="1">
    <dataValidation type="list" errorStyle="warning" allowBlank="1" showInputMessage="1" showErrorMessage="1" error="Not a code from the Setup tab (it won't be counted)." sqref="C6:AG30">
      <formula1>Codes</formula1>
    </dataValidation>
  </dataValidations>
  <printOptions horizontalCentered="1"/>
  <pageMargins left="0.3" right="0.3" top="0.3" bottom="0.3" header="0.3" footer="0.3"/>
  <pageSetup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AM33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/>
    </sheetView>
  </sheetViews>
  <sheetFormatPr defaultRowHeight="15"/>
  <cols>
    <col min="1" max="1" width="1.7109375" customWidth="1"/>
    <col min="2" max="2" width="18.7109375" customWidth="1"/>
    <col min="3" max="33" width="3.85546875" customWidth="1"/>
    <col min="34" max="34" width="1.7109375" customWidth="1"/>
    <col min="35" max="38" width="5.7109375" customWidth="1"/>
    <col min="39" max="39" width="6.28515625" customWidth="1"/>
  </cols>
  <sheetData>
    <row r="2" spans="2:39" ht="34" customHeight="1">
      <c r="B2" s="1" t="s">
        <v>104</v>
      </c>
      <c r="C2" s="1"/>
      <c r="D2" s="1"/>
      <c r="E2" s="1"/>
      <c r="F2" s="1"/>
      <c r="G2" s="1"/>
      <c r="H2" s="1"/>
      <c r="I2" s="1"/>
      <c r="J2" s="18">
        <f>CalYear</f>
        <v>0</v>
      </c>
      <c r="K2" s="18"/>
      <c r="L2" s="18"/>
      <c r="M2" s="18"/>
      <c r="N2" s="18"/>
      <c r="P2" s="19">
        <f>"Codes: "&amp;Setup!B9&amp;" "&amp;Setup!C9&amp;" · "&amp;Setup!B10&amp;" "&amp;Setup!C10&amp;" · "&amp;Setup!B11&amp;" "&amp;Setup!C11&amp;" · "&amp;Setup!B13&amp;" "&amp;Setup!C13&amp;" · "&amp;Setup!B15&amp;" "&amp;Setup!C15&amp;"   (full list on Setup)"</f>
        <v>0</v>
      </c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</row>
    <row r="4" spans="2:39" ht="14" customHeight="1">
      <c r="B4" s="20"/>
      <c r="C4" s="21">
        <f>IF(MONTH(DATE(CalYear,10,1))=10,CHOOSE(WEEKDAY(DATE(CalYear,10,1)),"S","M","T","W","T","F","S"),"")</f>
        <v>0</v>
      </c>
      <c r="D4" s="21">
        <f>IF(MONTH(DATE(CalYear,10,2))=10,CHOOSE(WEEKDAY(DATE(CalYear,10,2)),"S","M","T","W","T","F","S"),"")</f>
        <v>0</v>
      </c>
      <c r="E4" s="21">
        <f>IF(MONTH(DATE(CalYear,10,3))=10,CHOOSE(WEEKDAY(DATE(CalYear,10,3)),"S","M","T","W","T","F","S"),"")</f>
        <v>0</v>
      </c>
      <c r="F4" s="21">
        <f>IF(MONTH(DATE(CalYear,10,4))=10,CHOOSE(WEEKDAY(DATE(CalYear,10,4)),"S","M","T","W","T","F","S"),"")</f>
        <v>0</v>
      </c>
      <c r="G4" s="21">
        <f>IF(MONTH(DATE(CalYear,10,5))=10,CHOOSE(WEEKDAY(DATE(CalYear,10,5)),"S","M","T","W","T","F","S"),"")</f>
        <v>0</v>
      </c>
      <c r="H4" s="21">
        <f>IF(MONTH(DATE(CalYear,10,6))=10,CHOOSE(WEEKDAY(DATE(CalYear,10,6)),"S","M","T","W","T","F","S"),"")</f>
        <v>0</v>
      </c>
      <c r="I4" s="21">
        <f>IF(MONTH(DATE(CalYear,10,7))=10,CHOOSE(WEEKDAY(DATE(CalYear,10,7)),"S","M","T","W","T","F","S"),"")</f>
        <v>0</v>
      </c>
      <c r="J4" s="21">
        <f>IF(MONTH(DATE(CalYear,10,8))=10,CHOOSE(WEEKDAY(DATE(CalYear,10,8)),"S","M","T","W","T","F","S"),"")</f>
        <v>0</v>
      </c>
      <c r="K4" s="21">
        <f>IF(MONTH(DATE(CalYear,10,9))=10,CHOOSE(WEEKDAY(DATE(CalYear,10,9)),"S","M","T","W","T","F","S"),"")</f>
        <v>0</v>
      </c>
      <c r="L4" s="21">
        <f>IF(MONTH(DATE(CalYear,10,10))=10,CHOOSE(WEEKDAY(DATE(CalYear,10,10)),"S","M","T","W","T","F","S"),"")</f>
        <v>0</v>
      </c>
      <c r="M4" s="21">
        <f>IF(MONTH(DATE(CalYear,10,11))=10,CHOOSE(WEEKDAY(DATE(CalYear,10,11)),"S","M","T","W","T","F","S"),"")</f>
        <v>0</v>
      </c>
      <c r="N4" s="21">
        <f>IF(MONTH(DATE(CalYear,10,12))=10,CHOOSE(WEEKDAY(DATE(CalYear,10,12)),"S","M","T","W","T","F","S"),"")</f>
        <v>0</v>
      </c>
      <c r="O4" s="21">
        <f>IF(MONTH(DATE(CalYear,10,13))=10,CHOOSE(WEEKDAY(DATE(CalYear,10,13)),"S","M","T","W","T","F","S"),"")</f>
        <v>0</v>
      </c>
      <c r="P4" s="21">
        <f>IF(MONTH(DATE(CalYear,10,14))=10,CHOOSE(WEEKDAY(DATE(CalYear,10,14)),"S","M","T","W","T","F","S"),"")</f>
        <v>0</v>
      </c>
      <c r="Q4" s="21">
        <f>IF(MONTH(DATE(CalYear,10,15))=10,CHOOSE(WEEKDAY(DATE(CalYear,10,15)),"S","M","T","W","T","F","S"),"")</f>
        <v>0</v>
      </c>
      <c r="R4" s="21">
        <f>IF(MONTH(DATE(CalYear,10,16))=10,CHOOSE(WEEKDAY(DATE(CalYear,10,16)),"S","M","T","W","T","F","S"),"")</f>
        <v>0</v>
      </c>
      <c r="S4" s="21">
        <f>IF(MONTH(DATE(CalYear,10,17))=10,CHOOSE(WEEKDAY(DATE(CalYear,10,17)),"S","M","T","W","T","F","S"),"")</f>
        <v>0</v>
      </c>
      <c r="T4" s="21">
        <f>IF(MONTH(DATE(CalYear,10,18))=10,CHOOSE(WEEKDAY(DATE(CalYear,10,18)),"S","M","T","W","T","F","S"),"")</f>
        <v>0</v>
      </c>
      <c r="U4" s="21">
        <f>IF(MONTH(DATE(CalYear,10,19))=10,CHOOSE(WEEKDAY(DATE(CalYear,10,19)),"S","M","T","W","T","F","S"),"")</f>
        <v>0</v>
      </c>
      <c r="V4" s="21">
        <f>IF(MONTH(DATE(CalYear,10,20))=10,CHOOSE(WEEKDAY(DATE(CalYear,10,20)),"S","M","T","W","T","F","S"),"")</f>
        <v>0</v>
      </c>
      <c r="W4" s="21">
        <f>IF(MONTH(DATE(CalYear,10,21))=10,CHOOSE(WEEKDAY(DATE(CalYear,10,21)),"S","M","T","W","T","F","S"),"")</f>
        <v>0</v>
      </c>
      <c r="X4" s="21">
        <f>IF(MONTH(DATE(CalYear,10,22))=10,CHOOSE(WEEKDAY(DATE(CalYear,10,22)),"S","M","T","W","T","F","S"),"")</f>
        <v>0</v>
      </c>
      <c r="Y4" s="21">
        <f>IF(MONTH(DATE(CalYear,10,23))=10,CHOOSE(WEEKDAY(DATE(CalYear,10,23)),"S","M","T","W","T","F","S"),"")</f>
        <v>0</v>
      </c>
      <c r="Z4" s="21">
        <f>IF(MONTH(DATE(CalYear,10,24))=10,CHOOSE(WEEKDAY(DATE(CalYear,10,24)),"S","M","T","W","T","F","S"),"")</f>
        <v>0</v>
      </c>
      <c r="AA4" s="21">
        <f>IF(MONTH(DATE(CalYear,10,25))=10,CHOOSE(WEEKDAY(DATE(CalYear,10,25)),"S","M","T","W","T","F","S"),"")</f>
        <v>0</v>
      </c>
      <c r="AB4" s="21">
        <f>IF(MONTH(DATE(CalYear,10,26))=10,CHOOSE(WEEKDAY(DATE(CalYear,10,26)),"S","M","T","W","T","F","S"),"")</f>
        <v>0</v>
      </c>
      <c r="AC4" s="21">
        <f>IF(MONTH(DATE(CalYear,10,27))=10,CHOOSE(WEEKDAY(DATE(CalYear,10,27)),"S","M","T","W","T","F","S"),"")</f>
        <v>0</v>
      </c>
      <c r="AD4" s="21">
        <f>IF(MONTH(DATE(CalYear,10,28))=10,CHOOSE(WEEKDAY(DATE(CalYear,10,28)),"S","M","T","W","T","F","S"),"")</f>
        <v>0</v>
      </c>
      <c r="AE4" s="21">
        <f>IF(MONTH(DATE(CalYear,10,29))=10,CHOOSE(WEEKDAY(DATE(CalYear,10,29)),"S","M","T","W","T","F","S"),"")</f>
        <v>0</v>
      </c>
      <c r="AF4" s="21">
        <f>IF(MONTH(DATE(CalYear,10,30))=10,CHOOSE(WEEKDAY(DATE(CalYear,10,30)),"S","M","T","W","T","F","S"),"")</f>
        <v>0</v>
      </c>
      <c r="AG4" s="21">
        <f>IF(MONTH(DATE(CalYear,10,31))=10,CHOOSE(WEEKDAY(DATE(CalYear,10,31)),"S","M","T","W","T","F","S"),"")</f>
        <v>0</v>
      </c>
      <c r="AI4" s="22" t="s">
        <v>89</v>
      </c>
      <c r="AJ4" s="23" t="s">
        <v>90</v>
      </c>
      <c r="AK4" s="24" t="s">
        <v>91</v>
      </c>
      <c r="AL4" s="25" t="s">
        <v>92</v>
      </c>
      <c r="AM4" s="26" t="s">
        <v>93</v>
      </c>
    </row>
    <row r="5" spans="2:39" ht="18" customHeight="1">
      <c r="B5" s="27" t="s">
        <v>68</v>
      </c>
      <c r="C5" s="28">
        <f>IF(MONTH(DATE(CalYear,10,1))=10,1,"")</f>
        <v>0</v>
      </c>
      <c r="D5" s="28">
        <f>IF(MONTH(DATE(CalYear,10,2))=10,2,"")</f>
        <v>0</v>
      </c>
      <c r="E5" s="28">
        <f>IF(MONTH(DATE(CalYear,10,3))=10,3,"")</f>
        <v>0</v>
      </c>
      <c r="F5" s="28">
        <f>IF(MONTH(DATE(CalYear,10,4))=10,4,"")</f>
        <v>0</v>
      </c>
      <c r="G5" s="28">
        <f>IF(MONTH(DATE(CalYear,10,5))=10,5,"")</f>
        <v>0</v>
      </c>
      <c r="H5" s="28">
        <f>IF(MONTH(DATE(CalYear,10,6))=10,6,"")</f>
        <v>0</v>
      </c>
      <c r="I5" s="28">
        <f>IF(MONTH(DATE(CalYear,10,7))=10,7,"")</f>
        <v>0</v>
      </c>
      <c r="J5" s="28">
        <f>IF(MONTH(DATE(CalYear,10,8))=10,8,"")</f>
        <v>0</v>
      </c>
      <c r="K5" s="28">
        <f>IF(MONTH(DATE(CalYear,10,9))=10,9,"")</f>
        <v>0</v>
      </c>
      <c r="L5" s="28">
        <f>IF(MONTH(DATE(CalYear,10,10))=10,10,"")</f>
        <v>0</v>
      </c>
      <c r="M5" s="28">
        <f>IF(MONTH(DATE(CalYear,10,11))=10,11,"")</f>
        <v>0</v>
      </c>
      <c r="N5" s="28">
        <f>IF(MONTH(DATE(CalYear,10,12))=10,12,"")</f>
        <v>0</v>
      </c>
      <c r="O5" s="28">
        <f>IF(MONTH(DATE(CalYear,10,13))=10,13,"")</f>
        <v>0</v>
      </c>
      <c r="P5" s="28">
        <f>IF(MONTH(DATE(CalYear,10,14))=10,14,"")</f>
        <v>0</v>
      </c>
      <c r="Q5" s="28">
        <f>IF(MONTH(DATE(CalYear,10,15))=10,15,"")</f>
        <v>0</v>
      </c>
      <c r="R5" s="28">
        <f>IF(MONTH(DATE(CalYear,10,16))=10,16,"")</f>
        <v>0</v>
      </c>
      <c r="S5" s="28">
        <f>IF(MONTH(DATE(CalYear,10,17))=10,17,"")</f>
        <v>0</v>
      </c>
      <c r="T5" s="28">
        <f>IF(MONTH(DATE(CalYear,10,18))=10,18,"")</f>
        <v>0</v>
      </c>
      <c r="U5" s="28">
        <f>IF(MONTH(DATE(CalYear,10,19))=10,19,"")</f>
        <v>0</v>
      </c>
      <c r="V5" s="28">
        <f>IF(MONTH(DATE(CalYear,10,20))=10,20,"")</f>
        <v>0</v>
      </c>
      <c r="W5" s="28">
        <f>IF(MONTH(DATE(CalYear,10,21))=10,21,"")</f>
        <v>0</v>
      </c>
      <c r="X5" s="28">
        <f>IF(MONTH(DATE(CalYear,10,22))=10,22,"")</f>
        <v>0</v>
      </c>
      <c r="Y5" s="28">
        <f>IF(MONTH(DATE(CalYear,10,23))=10,23,"")</f>
        <v>0</v>
      </c>
      <c r="Z5" s="28">
        <f>IF(MONTH(DATE(CalYear,10,24))=10,24,"")</f>
        <v>0</v>
      </c>
      <c r="AA5" s="28">
        <f>IF(MONTH(DATE(CalYear,10,25))=10,25,"")</f>
        <v>0</v>
      </c>
      <c r="AB5" s="28">
        <f>IF(MONTH(DATE(CalYear,10,26))=10,26,"")</f>
        <v>0</v>
      </c>
      <c r="AC5" s="28">
        <f>IF(MONTH(DATE(CalYear,10,27))=10,27,"")</f>
        <v>0</v>
      </c>
      <c r="AD5" s="28">
        <f>IF(MONTH(DATE(CalYear,10,28))=10,28,"")</f>
        <v>0</v>
      </c>
      <c r="AE5" s="28">
        <f>IF(MONTH(DATE(CalYear,10,29))=10,29,"")</f>
        <v>0</v>
      </c>
      <c r="AF5" s="28">
        <f>IF(MONTH(DATE(CalYear,10,30))=10,30,"")</f>
        <v>0</v>
      </c>
      <c r="AG5" s="28">
        <f>IF(MONTH(DATE(CalYear,10,31))=10,31,"")</f>
        <v>0</v>
      </c>
      <c r="AI5" s="22"/>
      <c r="AJ5" s="23"/>
      <c r="AK5" s="24"/>
      <c r="AL5" s="25"/>
      <c r="AM5" s="26"/>
    </row>
    <row r="6" spans="2:39" ht="17" customHeight="1">
      <c r="B6" s="29">
        <f>IF(Summary!B6="","",Summary!B6)</f>
        <v>0</v>
      </c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  <c r="AE6" s="30"/>
      <c r="AF6" s="30"/>
      <c r="AG6" s="30"/>
      <c r="AI6" s="31">
        <f>SUMPRODUCT(COUNTIF(C6:AG6,Codes)*(Codes&lt;&gt;"")*(CodeBucket="Vacation")*CodeDays)</f>
        <v>0</v>
      </c>
      <c r="AJ6" s="32">
        <f>SUMPRODUCT(COUNTIF(C6:AG6,Codes)*(Codes&lt;&gt;"")*(CodeBucket="Sick")*CodeDays)</f>
        <v>0</v>
      </c>
      <c r="AK6" s="33">
        <f>SUMPRODUCT(COUNTIF(C6:AG6,Codes)*(Codes&lt;&gt;"")*(CodeBucket="Personal")*CodeDays)</f>
        <v>0</v>
      </c>
      <c r="AL6" s="34">
        <f>SUMPRODUCT(COUNTIF(C6:AG6,Codes)*(Codes&lt;&gt;"")*(CodeBucket="Other")*CodeDays)</f>
        <v>0</v>
      </c>
      <c r="AM6" s="35">
        <f>SUM(AI6:AL6)</f>
        <v>0</v>
      </c>
    </row>
    <row r="7" spans="2:39" ht="17" customHeight="1">
      <c r="B7" s="29">
        <f>IF(Summary!B7="","",Summary!B7)</f>
        <v>0</v>
      </c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  <c r="AB7" s="30"/>
      <c r="AC7" s="30"/>
      <c r="AD7" s="30"/>
      <c r="AE7" s="30"/>
      <c r="AF7" s="30"/>
      <c r="AG7" s="30"/>
      <c r="AI7" s="31">
        <f>SUMPRODUCT(COUNTIF(C7:AG7,Codes)*(Codes&lt;&gt;"")*(CodeBucket="Vacation")*CodeDays)</f>
        <v>0</v>
      </c>
      <c r="AJ7" s="32">
        <f>SUMPRODUCT(COUNTIF(C7:AG7,Codes)*(Codes&lt;&gt;"")*(CodeBucket="Sick")*CodeDays)</f>
        <v>0</v>
      </c>
      <c r="AK7" s="33">
        <f>SUMPRODUCT(COUNTIF(C7:AG7,Codes)*(Codes&lt;&gt;"")*(CodeBucket="Personal")*CodeDays)</f>
        <v>0</v>
      </c>
      <c r="AL7" s="34">
        <f>SUMPRODUCT(COUNTIF(C7:AG7,Codes)*(Codes&lt;&gt;"")*(CodeBucket="Other")*CodeDays)</f>
        <v>0</v>
      </c>
      <c r="AM7" s="35">
        <f>SUM(AI7:AL7)</f>
        <v>0</v>
      </c>
    </row>
    <row r="8" spans="2:39" ht="17" customHeight="1">
      <c r="B8" s="29">
        <f>IF(Summary!B8="","",Summary!B8)</f>
        <v>0</v>
      </c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30"/>
      <c r="AA8" s="30"/>
      <c r="AB8" s="30"/>
      <c r="AC8" s="30"/>
      <c r="AD8" s="30"/>
      <c r="AE8" s="30"/>
      <c r="AF8" s="30"/>
      <c r="AG8" s="30"/>
      <c r="AI8" s="31">
        <f>SUMPRODUCT(COUNTIF(C8:AG8,Codes)*(Codes&lt;&gt;"")*(CodeBucket="Vacation")*CodeDays)</f>
        <v>0</v>
      </c>
      <c r="AJ8" s="32">
        <f>SUMPRODUCT(COUNTIF(C8:AG8,Codes)*(Codes&lt;&gt;"")*(CodeBucket="Sick")*CodeDays)</f>
        <v>0</v>
      </c>
      <c r="AK8" s="33">
        <f>SUMPRODUCT(COUNTIF(C8:AG8,Codes)*(Codes&lt;&gt;"")*(CodeBucket="Personal")*CodeDays)</f>
        <v>0</v>
      </c>
      <c r="AL8" s="34">
        <f>SUMPRODUCT(COUNTIF(C8:AG8,Codes)*(Codes&lt;&gt;"")*(CodeBucket="Other")*CodeDays)</f>
        <v>0</v>
      </c>
      <c r="AM8" s="35">
        <f>SUM(AI8:AL8)</f>
        <v>0</v>
      </c>
    </row>
    <row r="9" spans="2:39" ht="17" customHeight="1">
      <c r="B9" s="29">
        <f>IF(Summary!B9="","",Summary!B9)</f>
        <v>0</v>
      </c>
      <c r="C9" s="30"/>
      <c r="D9" s="30"/>
      <c r="E9" s="30"/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  <c r="AB9" s="30"/>
      <c r="AC9" s="30"/>
      <c r="AD9" s="30"/>
      <c r="AE9" s="30"/>
      <c r="AF9" s="30"/>
      <c r="AG9" s="30"/>
      <c r="AI9" s="31">
        <f>SUMPRODUCT(COUNTIF(C9:AG9,Codes)*(Codes&lt;&gt;"")*(CodeBucket="Vacation")*CodeDays)</f>
        <v>0</v>
      </c>
      <c r="AJ9" s="32">
        <f>SUMPRODUCT(COUNTIF(C9:AG9,Codes)*(Codes&lt;&gt;"")*(CodeBucket="Sick")*CodeDays)</f>
        <v>0</v>
      </c>
      <c r="AK9" s="33">
        <f>SUMPRODUCT(COUNTIF(C9:AG9,Codes)*(Codes&lt;&gt;"")*(CodeBucket="Personal")*CodeDays)</f>
        <v>0</v>
      </c>
      <c r="AL9" s="34">
        <f>SUMPRODUCT(COUNTIF(C9:AG9,Codes)*(Codes&lt;&gt;"")*(CodeBucket="Other")*CodeDays)</f>
        <v>0</v>
      </c>
      <c r="AM9" s="35">
        <f>SUM(AI9:AL9)</f>
        <v>0</v>
      </c>
    </row>
    <row r="10" spans="2:39" ht="17" customHeight="1">
      <c r="B10" s="29">
        <f>IF(Summary!B10="","",Summary!B10)</f>
        <v>0</v>
      </c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  <c r="AA10" s="30"/>
      <c r="AB10" s="30"/>
      <c r="AC10" s="30"/>
      <c r="AD10" s="30"/>
      <c r="AE10" s="30"/>
      <c r="AF10" s="30"/>
      <c r="AG10" s="30"/>
      <c r="AI10" s="31">
        <f>SUMPRODUCT(COUNTIF(C10:AG10,Codes)*(Codes&lt;&gt;"")*(CodeBucket="Vacation")*CodeDays)</f>
        <v>0</v>
      </c>
      <c r="AJ10" s="32">
        <f>SUMPRODUCT(COUNTIF(C10:AG10,Codes)*(Codes&lt;&gt;"")*(CodeBucket="Sick")*CodeDays)</f>
        <v>0</v>
      </c>
      <c r="AK10" s="33">
        <f>SUMPRODUCT(COUNTIF(C10:AG10,Codes)*(Codes&lt;&gt;"")*(CodeBucket="Personal")*CodeDays)</f>
        <v>0</v>
      </c>
      <c r="AL10" s="34">
        <f>SUMPRODUCT(COUNTIF(C10:AG10,Codes)*(Codes&lt;&gt;"")*(CodeBucket="Other")*CodeDays)</f>
        <v>0</v>
      </c>
      <c r="AM10" s="35">
        <f>SUM(AI10:AL10)</f>
        <v>0</v>
      </c>
    </row>
    <row r="11" spans="2:39" ht="17" customHeight="1">
      <c r="B11" s="29">
        <f>IF(Summary!B11="","",Summary!B11)</f>
        <v>0</v>
      </c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  <c r="AA11" s="30"/>
      <c r="AB11" s="30"/>
      <c r="AC11" s="30"/>
      <c r="AD11" s="30"/>
      <c r="AE11" s="30"/>
      <c r="AF11" s="30"/>
      <c r="AG11" s="30"/>
      <c r="AI11" s="31">
        <f>SUMPRODUCT(COUNTIF(C11:AG11,Codes)*(Codes&lt;&gt;"")*(CodeBucket="Vacation")*CodeDays)</f>
        <v>0</v>
      </c>
      <c r="AJ11" s="32">
        <f>SUMPRODUCT(COUNTIF(C11:AG11,Codes)*(Codes&lt;&gt;"")*(CodeBucket="Sick")*CodeDays)</f>
        <v>0</v>
      </c>
      <c r="AK11" s="33">
        <f>SUMPRODUCT(COUNTIF(C11:AG11,Codes)*(Codes&lt;&gt;"")*(CodeBucket="Personal")*CodeDays)</f>
        <v>0</v>
      </c>
      <c r="AL11" s="34">
        <f>SUMPRODUCT(COUNTIF(C11:AG11,Codes)*(Codes&lt;&gt;"")*(CodeBucket="Other")*CodeDays)</f>
        <v>0</v>
      </c>
      <c r="AM11" s="35">
        <f>SUM(AI11:AL11)</f>
        <v>0</v>
      </c>
    </row>
    <row r="12" spans="2:39" ht="17" customHeight="1">
      <c r="B12" s="29">
        <f>IF(Summary!B12="","",Summary!B12)</f>
        <v>0</v>
      </c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0"/>
      <c r="S12" s="30"/>
      <c r="T12" s="30"/>
      <c r="U12" s="30"/>
      <c r="V12" s="30"/>
      <c r="W12" s="30"/>
      <c r="X12" s="30"/>
      <c r="Y12" s="30"/>
      <c r="Z12" s="30"/>
      <c r="AA12" s="30"/>
      <c r="AB12" s="30"/>
      <c r="AC12" s="30"/>
      <c r="AD12" s="30"/>
      <c r="AE12" s="30"/>
      <c r="AF12" s="30"/>
      <c r="AG12" s="30"/>
      <c r="AI12" s="31">
        <f>SUMPRODUCT(COUNTIF(C12:AG12,Codes)*(Codes&lt;&gt;"")*(CodeBucket="Vacation")*CodeDays)</f>
        <v>0</v>
      </c>
      <c r="AJ12" s="32">
        <f>SUMPRODUCT(COUNTIF(C12:AG12,Codes)*(Codes&lt;&gt;"")*(CodeBucket="Sick")*CodeDays)</f>
        <v>0</v>
      </c>
      <c r="AK12" s="33">
        <f>SUMPRODUCT(COUNTIF(C12:AG12,Codes)*(Codes&lt;&gt;"")*(CodeBucket="Personal")*CodeDays)</f>
        <v>0</v>
      </c>
      <c r="AL12" s="34">
        <f>SUMPRODUCT(COUNTIF(C12:AG12,Codes)*(Codes&lt;&gt;"")*(CodeBucket="Other")*CodeDays)</f>
        <v>0</v>
      </c>
      <c r="AM12" s="35">
        <f>SUM(AI12:AL12)</f>
        <v>0</v>
      </c>
    </row>
    <row r="13" spans="2:39" ht="17" customHeight="1">
      <c r="B13" s="29">
        <f>IF(Summary!B13="","",Summary!B13)</f>
        <v>0</v>
      </c>
      <c r="C13" s="30"/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30"/>
      <c r="T13" s="30"/>
      <c r="U13" s="30"/>
      <c r="V13" s="30"/>
      <c r="W13" s="30"/>
      <c r="X13" s="30"/>
      <c r="Y13" s="30"/>
      <c r="Z13" s="30"/>
      <c r="AA13" s="30"/>
      <c r="AB13" s="30"/>
      <c r="AC13" s="30"/>
      <c r="AD13" s="30"/>
      <c r="AE13" s="30"/>
      <c r="AF13" s="30"/>
      <c r="AG13" s="30"/>
      <c r="AI13" s="31">
        <f>SUMPRODUCT(COUNTIF(C13:AG13,Codes)*(Codes&lt;&gt;"")*(CodeBucket="Vacation")*CodeDays)</f>
        <v>0</v>
      </c>
      <c r="AJ13" s="32">
        <f>SUMPRODUCT(COUNTIF(C13:AG13,Codes)*(Codes&lt;&gt;"")*(CodeBucket="Sick")*CodeDays)</f>
        <v>0</v>
      </c>
      <c r="AK13" s="33">
        <f>SUMPRODUCT(COUNTIF(C13:AG13,Codes)*(Codes&lt;&gt;"")*(CodeBucket="Personal")*CodeDays)</f>
        <v>0</v>
      </c>
      <c r="AL13" s="34">
        <f>SUMPRODUCT(COUNTIF(C13:AG13,Codes)*(Codes&lt;&gt;"")*(CodeBucket="Other")*CodeDays)</f>
        <v>0</v>
      </c>
      <c r="AM13" s="35">
        <f>SUM(AI13:AL13)</f>
        <v>0</v>
      </c>
    </row>
    <row r="14" spans="2:39" ht="17" customHeight="1">
      <c r="B14" s="29">
        <f>IF(Summary!B14="","",Summary!B14)</f>
        <v>0</v>
      </c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30"/>
      <c r="U14" s="30"/>
      <c r="V14" s="30"/>
      <c r="W14" s="30"/>
      <c r="X14" s="30"/>
      <c r="Y14" s="30"/>
      <c r="Z14" s="30"/>
      <c r="AA14" s="30"/>
      <c r="AB14" s="30"/>
      <c r="AC14" s="30"/>
      <c r="AD14" s="30"/>
      <c r="AE14" s="30"/>
      <c r="AF14" s="30"/>
      <c r="AG14" s="30"/>
      <c r="AI14" s="31">
        <f>SUMPRODUCT(COUNTIF(C14:AG14,Codes)*(Codes&lt;&gt;"")*(CodeBucket="Vacation")*CodeDays)</f>
        <v>0</v>
      </c>
      <c r="AJ14" s="32">
        <f>SUMPRODUCT(COUNTIF(C14:AG14,Codes)*(Codes&lt;&gt;"")*(CodeBucket="Sick")*CodeDays)</f>
        <v>0</v>
      </c>
      <c r="AK14" s="33">
        <f>SUMPRODUCT(COUNTIF(C14:AG14,Codes)*(Codes&lt;&gt;"")*(CodeBucket="Personal")*CodeDays)</f>
        <v>0</v>
      </c>
      <c r="AL14" s="34">
        <f>SUMPRODUCT(COUNTIF(C14:AG14,Codes)*(Codes&lt;&gt;"")*(CodeBucket="Other")*CodeDays)</f>
        <v>0</v>
      </c>
      <c r="AM14" s="35">
        <f>SUM(AI14:AL14)</f>
        <v>0</v>
      </c>
    </row>
    <row r="15" spans="2:39" ht="17" customHeight="1">
      <c r="B15" s="29">
        <f>IF(Summary!B15="","",Summary!B15)</f>
        <v>0</v>
      </c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0"/>
      <c r="AA15" s="30"/>
      <c r="AB15" s="30"/>
      <c r="AC15" s="30"/>
      <c r="AD15" s="30"/>
      <c r="AE15" s="30"/>
      <c r="AF15" s="30"/>
      <c r="AG15" s="30"/>
      <c r="AI15" s="31">
        <f>SUMPRODUCT(COUNTIF(C15:AG15,Codes)*(Codes&lt;&gt;"")*(CodeBucket="Vacation")*CodeDays)</f>
        <v>0</v>
      </c>
      <c r="AJ15" s="32">
        <f>SUMPRODUCT(COUNTIF(C15:AG15,Codes)*(Codes&lt;&gt;"")*(CodeBucket="Sick")*CodeDays)</f>
        <v>0</v>
      </c>
      <c r="AK15" s="33">
        <f>SUMPRODUCT(COUNTIF(C15:AG15,Codes)*(Codes&lt;&gt;"")*(CodeBucket="Personal")*CodeDays)</f>
        <v>0</v>
      </c>
      <c r="AL15" s="34">
        <f>SUMPRODUCT(COUNTIF(C15:AG15,Codes)*(Codes&lt;&gt;"")*(CodeBucket="Other")*CodeDays)</f>
        <v>0</v>
      </c>
      <c r="AM15" s="35">
        <f>SUM(AI15:AL15)</f>
        <v>0</v>
      </c>
    </row>
    <row r="16" spans="2:39" ht="17" customHeight="1">
      <c r="B16" s="29">
        <f>IF(Summary!B16="","",Summary!B16)</f>
        <v>0</v>
      </c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0"/>
      <c r="R16" s="30"/>
      <c r="S16" s="30"/>
      <c r="T16" s="30"/>
      <c r="U16" s="30"/>
      <c r="V16" s="30"/>
      <c r="W16" s="30"/>
      <c r="X16" s="30"/>
      <c r="Y16" s="30"/>
      <c r="Z16" s="30"/>
      <c r="AA16" s="30"/>
      <c r="AB16" s="30"/>
      <c r="AC16" s="30"/>
      <c r="AD16" s="30"/>
      <c r="AE16" s="30"/>
      <c r="AF16" s="30"/>
      <c r="AG16" s="30"/>
      <c r="AI16" s="31">
        <f>SUMPRODUCT(COUNTIF(C16:AG16,Codes)*(Codes&lt;&gt;"")*(CodeBucket="Vacation")*CodeDays)</f>
        <v>0</v>
      </c>
      <c r="AJ16" s="32">
        <f>SUMPRODUCT(COUNTIF(C16:AG16,Codes)*(Codes&lt;&gt;"")*(CodeBucket="Sick")*CodeDays)</f>
        <v>0</v>
      </c>
      <c r="AK16" s="33">
        <f>SUMPRODUCT(COUNTIF(C16:AG16,Codes)*(Codes&lt;&gt;"")*(CodeBucket="Personal")*CodeDays)</f>
        <v>0</v>
      </c>
      <c r="AL16" s="34">
        <f>SUMPRODUCT(COUNTIF(C16:AG16,Codes)*(Codes&lt;&gt;"")*(CodeBucket="Other")*CodeDays)</f>
        <v>0</v>
      </c>
      <c r="AM16" s="35">
        <f>SUM(AI16:AL16)</f>
        <v>0</v>
      </c>
    </row>
    <row r="17" spans="2:39" ht="17" customHeight="1">
      <c r="B17" s="29">
        <f>IF(Summary!B17="","",Summary!B17)</f>
        <v>0</v>
      </c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  <c r="O17" s="30"/>
      <c r="P17" s="30"/>
      <c r="Q17" s="30"/>
      <c r="R17" s="30"/>
      <c r="S17" s="30"/>
      <c r="T17" s="30"/>
      <c r="U17" s="30"/>
      <c r="V17" s="30"/>
      <c r="W17" s="30"/>
      <c r="X17" s="30"/>
      <c r="Y17" s="30"/>
      <c r="Z17" s="30"/>
      <c r="AA17" s="30"/>
      <c r="AB17" s="30"/>
      <c r="AC17" s="30"/>
      <c r="AD17" s="30"/>
      <c r="AE17" s="30"/>
      <c r="AF17" s="30"/>
      <c r="AG17" s="30"/>
      <c r="AI17" s="31">
        <f>SUMPRODUCT(COUNTIF(C17:AG17,Codes)*(Codes&lt;&gt;"")*(CodeBucket="Vacation")*CodeDays)</f>
        <v>0</v>
      </c>
      <c r="AJ17" s="32">
        <f>SUMPRODUCT(COUNTIF(C17:AG17,Codes)*(Codes&lt;&gt;"")*(CodeBucket="Sick")*CodeDays)</f>
        <v>0</v>
      </c>
      <c r="AK17" s="33">
        <f>SUMPRODUCT(COUNTIF(C17:AG17,Codes)*(Codes&lt;&gt;"")*(CodeBucket="Personal")*CodeDays)</f>
        <v>0</v>
      </c>
      <c r="AL17" s="34">
        <f>SUMPRODUCT(COUNTIF(C17:AG17,Codes)*(Codes&lt;&gt;"")*(CodeBucket="Other")*CodeDays)</f>
        <v>0</v>
      </c>
      <c r="AM17" s="35">
        <f>SUM(AI17:AL17)</f>
        <v>0</v>
      </c>
    </row>
    <row r="18" spans="2:39" ht="17" customHeight="1">
      <c r="B18" s="29">
        <f>IF(Summary!B18="","",Summary!B18)</f>
        <v>0</v>
      </c>
      <c r="C18" s="30"/>
      <c r="D18" s="30"/>
      <c r="E18" s="30"/>
      <c r="F18" s="30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30"/>
      <c r="R18" s="30"/>
      <c r="S18" s="30"/>
      <c r="T18" s="30"/>
      <c r="U18" s="30"/>
      <c r="V18" s="30"/>
      <c r="W18" s="30"/>
      <c r="X18" s="30"/>
      <c r="Y18" s="30"/>
      <c r="Z18" s="30"/>
      <c r="AA18" s="30"/>
      <c r="AB18" s="30"/>
      <c r="AC18" s="30"/>
      <c r="AD18" s="30"/>
      <c r="AE18" s="30"/>
      <c r="AF18" s="30"/>
      <c r="AG18" s="30"/>
      <c r="AI18" s="31">
        <f>SUMPRODUCT(COUNTIF(C18:AG18,Codes)*(Codes&lt;&gt;"")*(CodeBucket="Vacation")*CodeDays)</f>
        <v>0</v>
      </c>
      <c r="AJ18" s="32">
        <f>SUMPRODUCT(COUNTIF(C18:AG18,Codes)*(Codes&lt;&gt;"")*(CodeBucket="Sick")*CodeDays)</f>
        <v>0</v>
      </c>
      <c r="AK18" s="33">
        <f>SUMPRODUCT(COUNTIF(C18:AG18,Codes)*(Codes&lt;&gt;"")*(CodeBucket="Personal")*CodeDays)</f>
        <v>0</v>
      </c>
      <c r="AL18" s="34">
        <f>SUMPRODUCT(COUNTIF(C18:AG18,Codes)*(Codes&lt;&gt;"")*(CodeBucket="Other")*CodeDays)</f>
        <v>0</v>
      </c>
      <c r="AM18" s="35">
        <f>SUM(AI18:AL18)</f>
        <v>0</v>
      </c>
    </row>
    <row r="19" spans="2:39" ht="17" customHeight="1">
      <c r="B19" s="29">
        <f>IF(Summary!B19="","",Summary!B19)</f>
        <v>0</v>
      </c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30"/>
      <c r="AE19" s="30"/>
      <c r="AF19" s="30"/>
      <c r="AG19" s="30"/>
      <c r="AI19" s="31">
        <f>SUMPRODUCT(COUNTIF(C19:AG19,Codes)*(Codes&lt;&gt;"")*(CodeBucket="Vacation")*CodeDays)</f>
        <v>0</v>
      </c>
      <c r="AJ19" s="32">
        <f>SUMPRODUCT(COUNTIF(C19:AG19,Codes)*(Codes&lt;&gt;"")*(CodeBucket="Sick")*CodeDays)</f>
        <v>0</v>
      </c>
      <c r="AK19" s="33">
        <f>SUMPRODUCT(COUNTIF(C19:AG19,Codes)*(Codes&lt;&gt;"")*(CodeBucket="Personal")*CodeDays)</f>
        <v>0</v>
      </c>
      <c r="AL19" s="34">
        <f>SUMPRODUCT(COUNTIF(C19:AG19,Codes)*(Codes&lt;&gt;"")*(CodeBucket="Other")*CodeDays)</f>
        <v>0</v>
      </c>
      <c r="AM19" s="35">
        <f>SUM(AI19:AL19)</f>
        <v>0</v>
      </c>
    </row>
    <row r="20" spans="2:39" ht="17" customHeight="1">
      <c r="B20" s="29">
        <f>IF(Summary!B20="","",Summary!B20)</f>
        <v>0</v>
      </c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0"/>
      <c r="V20" s="30"/>
      <c r="W20" s="30"/>
      <c r="X20" s="30"/>
      <c r="Y20" s="30"/>
      <c r="Z20" s="30"/>
      <c r="AA20" s="30"/>
      <c r="AB20" s="30"/>
      <c r="AC20" s="30"/>
      <c r="AD20" s="30"/>
      <c r="AE20" s="30"/>
      <c r="AF20" s="30"/>
      <c r="AG20" s="30"/>
      <c r="AI20" s="31">
        <f>SUMPRODUCT(COUNTIF(C20:AG20,Codes)*(Codes&lt;&gt;"")*(CodeBucket="Vacation")*CodeDays)</f>
        <v>0</v>
      </c>
      <c r="AJ20" s="32">
        <f>SUMPRODUCT(COUNTIF(C20:AG20,Codes)*(Codes&lt;&gt;"")*(CodeBucket="Sick")*CodeDays)</f>
        <v>0</v>
      </c>
      <c r="AK20" s="33">
        <f>SUMPRODUCT(COUNTIF(C20:AG20,Codes)*(Codes&lt;&gt;"")*(CodeBucket="Personal")*CodeDays)</f>
        <v>0</v>
      </c>
      <c r="AL20" s="34">
        <f>SUMPRODUCT(COUNTIF(C20:AG20,Codes)*(Codes&lt;&gt;"")*(CodeBucket="Other")*CodeDays)</f>
        <v>0</v>
      </c>
      <c r="AM20" s="35">
        <f>SUM(AI20:AL20)</f>
        <v>0</v>
      </c>
    </row>
    <row r="21" spans="2:39" ht="17" customHeight="1">
      <c r="B21" s="29">
        <f>IF(Summary!B21="","",Summary!B21)</f>
        <v>0</v>
      </c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0"/>
      <c r="P21" s="30"/>
      <c r="Q21" s="30"/>
      <c r="R21" s="30"/>
      <c r="S21" s="30"/>
      <c r="T21" s="30"/>
      <c r="U21" s="30"/>
      <c r="V21" s="30"/>
      <c r="W21" s="30"/>
      <c r="X21" s="30"/>
      <c r="Y21" s="30"/>
      <c r="Z21" s="30"/>
      <c r="AA21" s="30"/>
      <c r="AB21" s="30"/>
      <c r="AC21" s="30"/>
      <c r="AD21" s="30"/>
      <c r="AE21" s="30"/>
      <c r="AF21" s="30"/>
      <c r="AG21" s="30"/>
      <c r="AI21" s="31">
        <f>SUMPRODUCT(COUNTIF(C21:AG21,Codes)*(Codes&lt;&gt;"")*(CodeBucket="Vacation")*CodeDays)</f>
        <v>0</v>
      </c>
      <c r="AJ21" s="32">
        <f>SUMPRODUCT(COUNTIF(C21:AG21,Codes)*(Codes&lt;&gt;"")*(CodeBucket="Sick")*CodeDays)</f>
        <v>0</v>
      </c>
      <c r="AK21" s="33">
        <f>SUMPRODUCT(COUNTIF(C21:AG21,Codes)*(Codes&lt;&gt;"")*(CodeBucket="Personal")*CodeDays)</f>
        <v>0</v>
      </c>
      <c r="AL21" s="34">
        <f>SUMPRODUCT(COUNTIF(C21:AG21,Codes)*(Codes&lt;&gt;"")*(CodeBucket="Other")*CodeDays)</f>
        <v>0</v>
      </c>
      <c r="AM21" s="35">
        <f>SUM(AI21:AL21)</f>
        <v>0</v>
      </c>
    </row>
    <row r="22" spans="2:39" ht="17" customHeight="1">
      <c r="B22" s="29">
        <f>IF(Summary!B22="","",Summary!B22)</f>
        <v>0</v>
      </c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0"/>
      <c r="W22" s="30"/>
      <c r="X22" s="30"/>
      <c r="Y22" s="30"/>
      <c r="Z22" s="30"/>
      <c r="AA22" s="30"/>
      <c r="AB22" s="30"/>
      <c r="AC22" s="30"/>
      <c r="AD22" s="30"/>
      <c r="AE22" s="30"/>
      <c r="AF22" s="30"/>
      <c r="AG22" s="30"/>
      <c r="AI22" s="31">
        <f>SUMPRODUCT(COUNTIF(C22:AG22,Codes)*(Codes&lt;&gt;"")*(CodeBucket="Vacation")*CodeDays)</f>
        <v>0</v>
      </c>
      <c r="AJ22" s="32">
        <f>SUMPRODUCT(COUNTIF(C22:AG22,Codes)*(Codes&lt;&gt;"")*(CodeBucket="Sick")*CodeDays)</f>
        <v>0</v>
      </c>
      <c r="AK22" s="33">
        <f>SUMPRODUCT(COUNTIF(C22:AG22,Codes)*(Codes&lt;&gt;"")*(CodeBucket="Personal")*CodeDays)</f>
        <v>0</v>
      </c>
      <c r="AL22" s="34">
        <f>SUMPRODUCT(COUNTIF(C22:AG22,Codes)*(Codes&lt;&gt;"")*(CodeBucket="Other")*CodeDays)</f>
        <v>0</v>
      </c>
      <c r="AM22" s="35">
        <f>SUM(AI22:AL22)</f>
        <v>0</v>
      </c>
    </row>
    <row r="23" spans="2:39" ht="17" customHeight="1">
      <c r="B23" s="29">
        <f>IF(Summary!B23="","",Summary!B23)</f>
        <v>0</v>
      </c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30"/>
      <c r="S23" s="30"/>
      <c r="T23" s="30"/>
      <c r="U23" s="30"/>
      <c r="V23" s="30"/>
      <c r="W23" s="30"/>
      <c r="X23" s="30"/>
      <c r="Y23" s="30"/>
      <c r="Z23" s="30"/>
      <c r="AA23" s="30"/>
      <c r="AB23" s="30"/>
      <c r="AC23" s="30"/>
      <c r="AD23" s="30"/>
      <c r="AE23" s="30"/>
      <c r="AF23" s="30"/>
      <c r="AG23" s="30"/>
      <c r="AI23" s="31">
        <f>SUMPRODUCT(COUNTIF(C23:AG23,Codes)*(Codes&lt;&gt;"")*(CodeBucket="Vacation")*CodeDays)</f>
        <v>0</v>
      </c>
      <c r="AJ23" s="32">
        <f>SUMPRODUCT(COUNTIF(C23:AG23,Codes)*(Codes&lt;&gt;"")*(CodeBucket="Sick")*CodeDays)</f>
        <v>0</v>
      </c>
      <c r="AK23" s="33">
        <f>SUMPRODUCT(COUNTIF(C23:AG23,Codes)*(Codes&lt;&gt;"")*(CodeBucket="Personal")*CodeDays)</f>
        <v>0</v>
      </c>
      <c r="AL23" s="34">
        <f>SUMPRODUCT(COUNTIF(C23:AG23,Codes)*(Codes&lt;&gt;"")*(CodeBucket="Other")*CodeDays)</f>
        <v>0</v>
      </c>
      <c r="AM23" s="35">
        <f>SUM(AI23:AL23)</f>
        <v>0</v>
      </c>
    </row>
    <row r="24" spans="2:39" ht="17" customHeight="1">
      <c r="B24" s="29">
        <f>IF(Summary!B24="","",Summary!B24)</f>
        <v>0</v>
      </c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30"/>
      <c r="S24" s="30"/>
      <c r="T24" s="30"/>
      <c r="U24" s="30"/>
      <c r="V24" s="30"/>
      <c r="W24" s="30"/>
      <c r="X24" s="30"/>
      <c r="Y24" s="30"/>
      <c r="Z24" s="30"/>
      <c r="AA24" s="30"/>
      <c r="AB24" s="30"/>
      <c r="AC24" s="30"/>
      <c r="AD24" s="30"/>
      <c r="AE24" s="30"/>
      <c r="AF24" s="30"/>
      <c r="AG24" s="30"/>
      <c r="AI24" s="31">
        <f>SUMPRODUCT(COUNTIF(C24:AG24,Codes)*(Codes&lt;&gt;"")*(CodeBucket="Vacation")*CodeDays)</f>
        <v>0</v>
      </c>
      <c r="AJ24" s="32">
        <f>SUMPRODUCT(COUNTIF(C24:AG24,Codes)*(Codes&lt;&gt;"")*(CodeBucket="Sick")*CodeDays)</f>
        <v>0</v>
      </c>
      <c r="AK24" s="33">
        <f>SUMPRODUCT(COUNTIF(C24:AG24,Codes)*(Codes&lt;&gt;"")*(CodeBucket="Personal")*CodeDays)</f>
        <v>0</v>
      </c>
      <c r="AL24" s="34">
        <f>SUMPRODUCT(COUNTIF(C24:AG24,Codes)*(Codes&lt;&gt;"")*(CodeBucket="Other")*CodeDays)</f>
        <v>0</v>
      </c>
      <c r="AM24" s="35">
        <f>SUM(AI24:AL24)</f>
        <v>0</v>
      </c>
    </row>
    <row r="25" spans="2:39" ht="17" customHeight="1">
      <c r="B25" s="29">
        <f>IF(Summary!B25="","",Summary!B25)</f>
        <v>0</v>
      </c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I25" s="31">
        <f>SUMPRODUCT(COUNTIF(C25:AG25,Codes)*(Codes&lt;&gt;"")*(CodeBucket="Vacation")*CodeDays)</f>
        <v>0</v>
      </c>
      <c r="AJ25" s="32">
        <f>SUMPRODUCT(COUNTIF(C25:AG25,Codes)*(Codes&lt;&gt;"")*(CodeBucket="Sick")*CodeDays)</f>
        <v>0</v>
      </c>
      <c r="AK25" s="33">
        <f>SUMPRODUCT(COUNTIF(C25:AG25,Codes)*(Codes&lt;&gt;"")*(CodeBucket="Personal")*CodeDays)</f>
        <v>0</v>
      </c>
      <c r="AL25" s="34">
        <f>SUMPRODUCT(COUNTIF(C25:AG25,Codes)*(Codes&lt;&gt;"")*(CodeBucket="Other")*CodeDays)</f>
        <v>0</v>
      </c>
      <c r="AM25" s="35">
        <f>SUM(AI25:AL25)</f>
        <v>0</v>
      </c>
    </row>
    <row r="26" spans="2:39" ht="17" customHeight="1">
      <c r="B26" s="29">
        <f>IF(Summary!B26="","",Summary!B26)</f>
        <v>0</v>
      </c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I26" s="31">
        <f>SUMPRODUCT(COUNTIF(C26:AG26,Codes)*(Codes&lt;&gt;"")*(CodeBucket="Vacation")*CodeDays)</f>
        <v>0</v>
      </c>
      <c r="AJ26" s="32">
        <f>SUMPRODUCT(COUNTIF(C26:AG26,Codes)*(Codes&lt;&gt;"")*(CodeBucket="Sick")*CodeDays)</f>
        <v>0</v>
      </c>
      <c r="AK26" s="33">
        <f>SUMPRODUCT(COUNTIF(C26:AG26,Codes)*(Codes&lt;&gt;"")*(CodeBucket="Personal")*CodeDays)</f>
        <v>0</v>
      </c>
      <c r="AL26" s="34">
        <f>SUMPRODUCT(COUNTIF(C26:AG26,Codes)*(Codes&lt;&gt;"")*(CodeBucket="Other")*CodeDays)</f>
        <v>0</v>
      </c>
      <c r="AM26" s="35">
        <f>SUM(AI26:AL26)</f>
        <v>0</v>
      </c>
    </row>
    <row r="27" spans="2:39" ht="17" customHeight="1">
      <c r="B27" s="29">
        <f>IF(Summary!B27="","",Summary!B27)</f>
        <v>0</v>
      </c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  <c r="AD27" s="30"/>
      <c r="AE27" s="30"/>
      <c r="AF27" s="30"/>
      <c r="AG27" s="30"/>
      <c r="AI27" s="31">
        <f>SUMPRODUCT(COUNTIF(C27:AG27,Codes)*(Codes&lt;&gt;"")*(CodeBucket="Vacation")*CodeDays)</f>
        <v>0</v>
      </c>
      <c r="AJ27" s="32">
        <f>SUMPRODUCT(COUNTIF(C27:AG27,Codes)*(Codes&lt;&gt;"")*(CodeBucket="Sick")*CodeDays)</f>
        <v>0</v>
      </c>
      <c r="AK27" s="33">
        <f>SUMPRODUCT(COUNTIF(C27:AG27,Codes)*(Codes&lt;&gt;"")*(CodeBucket="Personal")*CodeDays)</f>
        <v>0</v>
      </c>
      <c r="AL27" s="34">
        <f>SUMPRODUCT(COUNTIF(C27:AG27,Codes)*(Codes&lt;&gt;"")*(CodeBucket="Other")*CodeDays)</f>
        <v>0</v>
      </c>
      <c r="AM27" s="35">
        <f>SUM(AI27:AL27)</f>
        <v>0</v>
      </c>
    </row>
    <row r="28" spans="2:39" ht="17" customHeight="1">
      <c r="B28" s="29">
        <f>IF(Summary!B28="","",Summary!B28)</f>
        <v>0</v>
      </c>
      <c r="C28" s="30"/>
      <c r="D28" s="30"/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0"/>
      <c r="P28" s="30"/>
      <c r="Q28" s="30"/>
      <c r="R28" s="30"/>
      <c r="S28" s="30"/>
      <c r="T28" s="30"/>
      <c r="U28" s="30"/>
      <c r="V28" s="30"/>
      <c r="W28" s="30"/>
      <c r="X28" s="30"/>
      <c r="Y28" s="30"/>
      <c r="Z28" s="30"/>
      <c r="AA28" s="30"/>
      <c r="AB28" s="30"/>
      <c r="AC28" s="30"/>
      <c r="AD28" s="30"/>
      <c r="AE28" s="30"/>
      <c r="AF28" s="30"/>
      <c r="AG28" s="30"/>
      <c r="AI28" s="31">
        <f>SUMPRODUCT(COUNTIF(C28:AG28,Codes)*(Codes&lt;&gt;"")*(CodeBucket="Vacation")*CodeDays)</f>
        <v>0</v>
      </c>
      <c r="AJ28" s="32">
        <f>SUMPRODUCT(COUNTIF(C28:AG28,Codes)*(Codes&lt;&gt;"")*(CodeBucket="Sick")*CodeDays)</f>
        <v>0</v>
      </c>
      <c r="AK28" s="33">
        <f>SUMPRODUCT(COUNTIF(C28:AG28,Codes)*(Codes&lt;&gt;"")*(CodeBucket="Personal")*CodeDays)</f>
        <v>0</v>
      </c>
      <c r="AL28" s="34">
        <f>SUMPRODUCT(COUNTIF(C28:AG28,Codes)*(Codes&lt;&gt;"")*(CodeBucket="Other")*CodeDays)</f>
        <v>0</v>
      </c>
      <c r="AM28" s="35">
        <f>SUM(AI28:AL28)</f>
        <v>0</v>
      </c>
    </row>
    <row r="29" spans="2:39" ht="17" customHeight="1">
      <c r="B29" s="29">
        <f>IF(Summary!B29="","",Summary!B29)</f>
        <v>0</v>
      </c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30"/>
      <c r="AD29" s="30"/>
      <c r="AE29" s="30"/>
      <c r="AF29" s="30"/>
      <c r="AG29" s="30"/>
      <c r="AI29" s="31">
        <f>SUMPRODUCT(COUNTIF(C29:AG29,Codes)*(Codes&lt;&gt;"")*(CodeBucket="Vacation")*CodeDays)</f>
        <v>0</v>
      </c>
      <c r="AJ29" s="32">
        <f>SUMPRODUCT(COUNTIF(C29:AG29,Codes)*(Codes&lt;&gt;"")*(CodeBucket="Sick")*CodeDays)</f>
        <v>0</v>
      </c>
      <c r="AK29" s="33">
        <f>SUMPRODUCT(COUNTIF(C29:AG29,Codes)*(Codes&lt;&gt;"")*(CodeBucket="Personal")*CodeDays)</f>
        <v>0</v>
      </c>
      <c r="AL29" s="34">
        <f>SUMPRODUCT(COUNTIF(C29:AG29,Codes)*(Codes&lt;&gt;"")*(CodeBucket="Other")*CodeDays)</f>
        <v>0</v>
      </c>
      <c r="AM29" s="35">
        <f>SUM(AI29:AL29)</f>
        <v>0</v>
      </c>
    </row>
    <row r="30" spans="2:39" ht="17" customHeight="1">
      <c r="B30" s="29">
        <f>IF(Summary!B30="","",Summary!B30)</f>
        <v>0</v>
      </c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  <c r="AF30" s="30"/>
      <c r="AG30" s="30"/>
      <c r="AI30" s="31">
        <f>SUMPRODUCT(COUNTIF(C30:AG30,Codes)*(Codes&lt;&gt;"")*(CodeBucket="Vacation")*CodeDays)</f>
        <v>0</v>
      </c>
      <c r="AJ30" s="32">
        <f>SUMPRODUCT(COUNTIF(C30:AG30,Codes)*(Codes&lt;&gt;"")*(CodeBucket="Sick")*CodeDays)</f>
        <v>0</v>
      </c>
      <c r="AK30" s="33">
        <f>SUMPRODUCT(COUNTIF(C30:AG30,Codes)*(Codes&lt;&gt;"")*(CodeBucket="Personal")*CodeDays)</f>
        <v>0</v>
      </c>
      <c r="AL30" s="34">
        <f>SUMPRODUCT(COUNTIF(C30:AG30,Codes)*(Codes&lt;&gt;"")*(CodeBucket="Other")*CodeDays)</f>
        <v>0</v>
      </c>
      <c r="AM30" s="35">
        <f>SUM(AI30:AL30)</f>
        <v>0</v>
      </c>
    </row>
    <row r="31" spans="2:39" ht="16" customHeight="1">
      <c r="B31" s="36" t="s">
        <v>94</v>
      </c>
      <c r="C31" s="37">
        <f>IF(COUNTA(C6:C30)=0,"",COUNTA(C6:C30))</f>
        <v>0</v>
      </c>
      <c r="D31" s="37">
        <f>IF(COUNTA(D6:D30)=0,"",COUNTA(D6:D30))</f>
        <v>0</v>
      </c>
      <c r="E31" s="37">
        <f>IF(COUNTA(E6:E30)=0,"",COUNTA(E6:E30))</f>
        <v>0</v>
      </c>
      <c r="F31" s="37">
        <f>IF(COUNTA(F6:F30)=0,"",COUNTA(F6:F30))</f>
        <v>0</v>
      </c>
      <c r="G31" s="37">
        <f>IF(COUNTA(G6:G30)=0,"",COUNTA(G6:G30))</f>
        <v>0</v>
      </c>
      <c r="H31" s="37">
        <f>IF(COUNTA(H6:H30)=0,"",COUNTA(H6:H30))</f>
        <v>0</v>
      </c>
      <c r="I31" s="37">
        <f>IF(COUNTA(I6:I30)=0,"",COUNTA(I6:I30))</f>
        <v>0</v>
      </c>
      <c r="J31" s="37">
        <f>IF(COUNTA(J6:J30)=0,"",COUNTA(J6:J30))</f>
        <v>0</v>
      </c>
      <c r="K31" s="37">
        <f>IF(COUNTA(K6:K30)=0,"",COUNTA(K6:K30))</f>
        <v>0</v>
      </c>
      <c r="L31" s="37">
        <f>IF(COUNTA(L6:L30)=0,"",COUNTA(L6:L30))</f>
        <v>0</v>
      </c>
      <c r="M31" s="37">
        <f>IF(COUNTA(M6:M30)=0,"",COUNTA(M6:M30))</f>
        <v>0</v>
      </c>
      <c r="N31" s="37">
        <f>IF(COUNTA(N6:N30)=0,"",COUNTA(N6:N30))</f>
        <v>0</v>
      </c>
      <c r="O31" s="37">
        <f>IF(COUNTA(O6:O30)=0,"",COUNTA(O6:O30))</f>
        <v>0</v>
      </c>
      <c r="P31" s="37">
        <f>IF(COUNTA(P6:P30)=0,"",COUNTA(P6:P30))</f>
        <v>0</v>
      </c>
      <c r="Q31" s="37">
        <f>IF(COUNTA(Q6:Q30)=0,"",COUNTA(Q6:Q30))</f>
        <v>0</v>
      </c>
      <c r="R31" s="37">
        <f>IF(COUNTA(R6:R30)=0,"",COUNTA(R6:R30))</f>
        <v>0</v>
      </c>
      <c r="S31" s="37">
        <f>IF(COUNTA(S6:S30)=0,"",COUNTA(S6:S30))</f>
        <v>0</v>
      </c>
      <c r="T31" s="37">
        <f>IF(COUNTA(T6:T30)=0,"",COUNTA(T6:T30))</f>
        <v>0</v>
      </c>
      <c r="U31" s="37">
        <f>IF(COUNTA(U6:U30)=0,"",COUNTA(U6:U30))</f>
        <v>0</v>
      </c>
      <c r="V31" s="37">
        <f>IF(COUNTA(V6:V30)=0,"",COUNTA(V6:V30))</f>
        <v>0</v>
      </c>
      <c r="W31" s="37">
        <f>IF(COUNTA(W6:W30)=0,"",COUNTA(W6:W30))</f>
        <v>0</v>
      </c>
      <c r="X31" s="37">
        <f>IF(COUNTA(X6:X30)=0,"",COUNTA(X6:X30))</f>
        <v>0</v>
      </c>
      <c r="Y31" s="37">
        <f>IF(COUNTA(Y6:Y30)=0,"",COUNTA(Y6:Y30))</f>
        <v>0</v>
      </c>
      <c r="Z31" s="37">
        <f>IF(COUNTA(Z6:Z30)=0,"",COUNTA(Z6:Z30))</f>
        <v>0</v>
      </c>
      <c r="AA31" s="37">
        <f>IF(COUNTA(AA6:AA30)=0,"",COUNTA(AA6:AA30))</f>
        <v>0</v>
      </c>
      <c r="AB31" s="37">
        <f>IF(COUNTA(AB6:AB30)=0,"",COUNTA(AB6:AB30))</f>
        <v>0</v>
      </c>
      <c r="AC31" s="37">
        <f>IF(COUNTA(AC6:AC30)=0,"",COUNTA(AC6:AC30))</f>
        <v>0</v>
      </c>
      <c r="AD31" s="37">
        <f>IF(COUNTA(AD6:AD30)=0,"",COUNTA(AD6:AD30))</f>
        <v>0</v>
      </c>
      <c r="AE31" s="37">
        <f>IF(COUNTA(AE6:AE30)=0,"",COUNTA(AE6:AE30))</f>
        <v>0</v>
      </c>
      <c r="AF31" s="37">
        <f>IF(COUNTA(AF6:AF30)=0,"",COUNTA(AF6:AF30))</f>
        <v>0</v>
      </c>
      <c r="AG31" s="37">
        <f>IF(COUNTA(AG6:AG30)=0,"",COUNTA(AG6:AG30))</f>
        <v>0</v>
      </c>
    </row>
    <row r="33" spans="2:39">
      <c r="B33" s="38" t="s">
        <v>95</v>
      </c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8"/>
      <c r="AG33" s="38"/>
      <c r="AH33" s="38"/>
      <c r="AI33" s="38"/>
      <c r="AJ33" s="38"/>
      <c r="AK33" s="38"/>
      <c r="AL33" s="38"/>
      <c r="AM33" s="38"/>
    </row>
  </sheetData>
  <mergeCells count="9">
    <mergeCell ref="B2:I2"/>
    <mergeCell ref="J2:N2"/>
    <mergeCell ref="P2:AM2"/>
    <mergeCell ref="AI4:AI5"/>
    <mergeCell ref="AJ4:AJ5"/>
    <mergeCell ref="AK4:AK5"/>
    <mergeCell ref="AL4:AL5"/>
    <mergeCell ref="AM4:AM5"/>
    <mergeCell ref="B33:AM33"/>
  </mergeCells>
  <conditionalFormatting sqref="C4:AG5">
    <cfRule type="expression" dxfId="7" priority="8">
      <formula>AND(MONTH(DATE(CalYear,10,COLUMN()-2))=10,COUNTIFS(INDIRECT("Holidays!$C$6:$C$60"),DATE(CalYear,10,COLUMN()-2),INDIRECT("Holidays!$D$6:$D$60"),"Holiday")&gt;0)</formula>
    </cfRule>
  </conditionalFormatting>
  <conditionalFormatting sqref="C6:AG30">
    <cfRule type="expression" dxfId="0" priority="1" stopIfTrue="1">
      <formula>MONTH(DATE(CalYear,10,COLUMN()-2))&lt;&gt;10</formula>
    </cfRule>
    <cfRule type="expression" dxfId="1" priority="2" stopIfTrue="1">
      <formula>AND(C6&lt;&gt;"",COUNTIFS(INDIRECT("Setup!$B$9:$B$22"),C6,INDIRECT("Setup!$E$9:$E$22"),"Vacation")&gt;0)</formula>
    </cfRule>
    <cfRule type="expression" dxfId="2" priority="3" stopIfTrue="1">
      <formula>AND(C6&lt;&gt;"",COUNTIFS(INDIRECT("Setup!$B$9:$B$22"),C6,INDIRECT("Setup!$E$9:$E$22"),"Sick")&gt;0)</formula>
    </cfRule>
    <cfRule type="expression" dxfId="3" priority="4" stopIfTrue="1">
      <formula>AND(C6&lt;&gt;"",COUNTIFS(INDIRECT("Setup!$B$9:$B$22"),C6,INDIRECT("Setup!$E$9:$E$22"),"Personal")&gt;0)</formula>
    </cfRule>
    <cfRule type="expression" dxfId="4" priority="5" stopIfTrue="1">
      <formula>AND(C6&lt;&gt;"",COUNTIFS(INDIRECT("Setup!$B$9:$B$22"),C6,INDIRECT("Setup!$E$9:$E$22"),"Other")&gt;0)</formula>
    </cfRule>
    <cfRule type="expression" dxfId="5" priority="6" stopIfTrue="1">
      <formula>COUNTIFS(INDIRECT("Holidays!$C$6:$C$60"),DATE(CalYear,10,COLUMN()-2),INDIRECT("Holidays!$D$6:$D$60"),"Holiday")&gt;0</formula>
    </cfRule>
    <cfRule type="expression" dxfId="6" priority="7" stopIfTrue="1">
      <formula>OR(WEEKDAY(DATE(CalYear,10,COLUMN()-2))=1,WEEKDAY(DATE(CalYear,10,COLUMN()-2))=7)</formula>
    </cfRule>
  </conditionalFormatting>
  <dataValidations count="1">
    <dataValidation type="list" errorStyle="warning" allowBlank="1" showInputMessage="1" showErrorMessage="1" error="Not a code from the Setup tab (it won't be counted)." sqref="C6:AG30">
      <formula1>Codes</formula1>
    </dataValidation>
  </dataValidations>
  <printOptions horizontalCentered="1"/>
  <pageMargins left="0.3" right="0.3" top="0.3" bottom="0.3" header="0.3" footer="0.3"/>
  <pageSetup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2:AM33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/>
    </sheetView>
  </sheetViews>
  <sheetFormatPr defaultRowHeight="15"/>
  <cols>
    <col min="1" max="1" width="1.7109375" customWidth="1"/>
    <col min="2" max="2" width="18.7109375" customWidth="1"/>
    <col min="3" max="33" width="3.85546875" customWidth="1"/>
    <col min="34" max="34" width="1.7109375" customWidth="1"/>
    <col min="35" max="38" width="5.7109375" customWidth="1"/>
    <col min="39" max="39" width="6.28515625" customWidth="1"/>
  </cols>
  <sheetData>
    <row r="2" spans="2:39" ht="34" customHeight="1">
      <c r="B2" s="1" t="s">
        <v>105</v>
      </c>
      <c r="C2" s="1"/>
      <c r="D2" s="1"/>
      <c r="E2" s="1"/>
      <c r="F2" s="1"/>
      <c r="G2" s="1"/>
      <c r="H2" s="1"/>
      <c r="I2" s="1"/>
      <c r="J2" s="18">
        <f>CalYear</f>
        <v>0</v>
      </c>
      <c r="K2" s="18"/>
      <c r="L2" s="18"/>
      <c r="M2" s="18"/>
      <c r="N2" s="18"/>
      <c r="P2" s="19">
        <f>"Codes: "&amp;Setup!B9&amp;" "&amp;Setup!C9&amp;" · "&amp;Setup!B10&amp;" "&amp;Setup!C10&amp;" · "&amp;Setup!B11&amp;" "&amp;Setup!C11&amp;" · "&amp;Setup!B13&amp;" "&amp;Setup!C13&amp;" · "&amp;Setup!B15&amp;" "&amp;Setup!C15&amp;"   (full list on Setup)"</f>
        <v>0</v>
      </c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</row>
    <row r="4" spans="2:39" ht="14" customHeight="1">
      <c r="B4" s="20"/>
      <c r="C4" s="21">
        <f>IF(MONTH(DATE(CalYear,11,1))=11,CHOOSE(WEEKDAY(DATE(CalYear,11,1)),"S","M","T","W","T","F","S"),"")</f>
        <v>0</v>
      </c>
      <c r="D4" s="21">
        <f>IF(MONTH(DATE(CalYear,11,2))=11,CHOOSE(WEEKDAY(DATE(CalYear,11,2)),"S","M","T","W","T","F","S"),"")</f>
        <v>0</v>
      </c>
      <c r="E4" s="21">
        <f>IF(MONTH(DATE(CalYear,11,3))=11,CHOOSE(WEEKDAY(DATE(CalYear,11,3)),"S","M","T","W","T","F","S"),"")</f>
        <v>0</v>
      </c>
      <c r="F4" s="21">
        <f>IF(MONTH(DATE(CalYear,11,4))=11,CHOOSE(WEEKDAY(DATE(CalYear,11,4)),"S","M","T","W","T","F","S"),"")</f>
        <v>0</v>
      </c>
      <c r="G4" s="21">
        <f>IF(MONTH(DATE(CalYear,11,5))=11,CHOOSE(WEEKDAY(DATE(CalYear,11,5)),"S","M","T","W","T","F","S"),"")</f>
        <v>0</v>
      </c>
      <c r="H4" s="21">
        <f>IF(MONTH(DATE(CalYear,11,6))=11,CHOOSE(WEEKDAY(DATE(CalYear,11,6)),"S","M","T","W","T","F","S"),"")</f>
        <v>0</v>
      </c>
      <c r="I4" s="21">
        <f>IF(MONTH(DATE(CalYear,11,7))=11,CHOOSE(WEEKDAY(DATE(CalYear,11,7)),"S","M","T","W","T","F","S"),"")</f>
        <v>0</v>
      </c>
      <c r="J4" s="21">
        <f>IF(MONTH(DATE(CalYear,11,8))=11,CHOOSE(WEEKDAY(DATE(CalYear,11,8)),"S","M","T","W","T","F","S"),"")</f>
        <v>0</v>
      </c>
      <c r="K4" s="21">
        <f>IF(MONTH(DATE(CalYear,11,9))=11,CHOOSE(WEEKDAY(DATE(CalYear,11,9)),"S","M","T","W","T","F","S"),"")</f>
        <v>0</v>
      </c>
      <c r="L4" s="21">
        <f>IF(MONTH(DATE(CalYear,11,10))=11,CHOOSE(WEEKDAY(DATE(CalYear,11,10)),"S","M","T","W","T","F","S"),"")</f>
        <v>0</v>
      </c>
      <c r="M4" s="21">
        <f>IF(MONTH(DATE(CalYear,11,11))=11,CHOOSE(WEEKDAY(DATE(CalYear,11,11)),"S","M","T","W","T","F","S"),"")</f>
        <v>0</v>
      </c>
      <c r="N4" s="21">
        <f>IF(MONTH(DATE(CalYear,11,12))=11,CHOOSE(WEEKDAY(DATE(CalYear,11,12)),"S","M","T","W","T","F","S"),"")</f>
        <v>0</v>
      </c>
      <c r="O4" s="21">
        <f>IF(MONTH(DATE(CalYear,11,13))=11,CHOOSE(WEEKDAY(DATE(CalYear,11,13)),"S","M","T","W","T","F","S"),"")</f>
        <v>0</v>
      </c>
      <c r="P4" s="21">
        <f>IF(MONTH(DATE(CalYear,11,14))=11,CHOOSE(WEEKDAY(DATE(CalYear,11,14)),"S","M","T","W","T","F","S"),"")</f>
        <v>0</v>
      </c>
      <c r="Q4" s="21">
        <f>IF(MONTH(DATE(CalYear,11,15))=11,CHOOSE(WEEKDAY(DATE(CalYear,11,15)),"S","M","T","W","T","F","S"),"")</f>
        <v>0</v>
      </c>
      <c r="R4" s="21">
        <f>IF(MONTH(DATE(CalYear,11,16))=11,CHOOSE(WEEKDAY(DATE(CalYear,11,16)),"S","M","T","W","T","F","S"),"")</f>
        <v>0</v>
      </c>
      <c r="S4" s="21">
        <f>IF(MONTH(DATE(CalYear,11,17))=11,CHOOSE(WEEKDAY(DATE(CalYear,11,17)),"S","M","T","W","T","F","S"),"")</f>
        <v>0</v>
      </c>
      <c r="T4" s="21">
        <f>IF(MONTH(DATE(CalYear,11,18))=11,CHOOSE(WEEKDAY(DATE(CalYear,11,18)),"S","M","T","W","T","F","S"),"")</f>
        <v>0</v>
      </c>
      <c r="U4" s="21">
        <f>IF(MONTH(DATE(CalYear,11,19))=11,CHOOSE(WEEKDAY(DATE(CalYear,11,19)),"S","M","T","W","T","F","S"),"")</f>
        <v>0</v>
      </c>
      <c r="V4" s="21">
        <f>IF(MONTH(DATE(CalYear,11,20))=11,CHOOSE(WEEKDAY(DATE(CalYear,11,20)),"S","M","T","W","T","F","S"),"")</f>
        <v>0</v>
      </c>
      <c r="W4" s="21">
        <f>IF(MONTH(DATE(CalYear,11,21))=11,CHOOSE(WEEKDAY(DATE(CalYear,11,21)),"S","M","T","W","T","F","S"),"")</f>
        <v>0</v>
      </c>
      <c r="X4" s="21">
        <f>IF(MONTH(DATE(CalYear,11,22))=11,CHOOSE(WEEKDAY(DATE(CalYear,11,22)),"S","M","T","W","T","F","S"),"")</f>
        <v>0</v>
      </c>
      <c r="Y4" s="21">
        <f>IF(MONTH(DATE(CalYear,11,23))=11,CHOOSE(WEEKDAY(DATE(CalYear,11,23)),"S","M","T","W","T","F","S"),"")</f>
        <v>0</v>
      </c>
      <c r="Z4" s="21">
        <f>IF(MONTH(DATE(CalYear,11,24))=11,CHOOSE(WEEKDAY(DATE(CalYear,11,24)),"S","M","T","W","T","F","S"),"")</f>
        <v>0</v>
      </c>
      <c r="AA4" s="21">
        <f>IF(MONTH(DATE(CalYear,11,25))=11,CHOOSE(WEEKDAY(DATE(CalYear,11,25)),"S","M","T","W","T","F","S"),"")</f>
        <v>0</v>
      </c>
      <c r="AB4" s="21">
        <f>IF(MONTH(DATE(CalYear,11,26))=11,CHOOSE(WEEKDAY(DATE(CalYear,11,26)),"S","M","T","W","T","F","S"),"")</f>
        <v>0</v>
      </c>
      <c r="AC4" s="21">
        <f>IF(MONTH(DATE(CalYear,11,27))=11,CHOOSE(WEEKDAY(DATE(CalYear,11,27)),"S","M","T","W","T","F","S"),"")</f>
        <v>0</v>
      </c>
      <c r="AD4" s="21">
        <f>IF(MONTH(DATE(CalYear,11,28))=11,CHOOSE(WEEKDAY(DATE(CalYear,11,28)),"S","M","T","W","T","F","S"),"")</f>
        <v>0</v>
      </c>
      <c r="AE4" s="21">
        <f>IF(MONTH(DATE(CalYear,11,29))=11,CHOOSE(WEEKDAY(DATE(CalYear,11,29)),"S","M","T","W","T","F","S"),"")</f>
        <v>0</v>
      </c>
      <c r="AF4" s="21">
        <f>IF(MONTH(DATE(CalYear,11,30))=11,CHOOSE(WEEKDAY(DATE(CalYear,11,30)),"S","M","T","W","T","F","S"),"")</f>
        <v>0</v>
      </c>
      <c r="AG4" s="21">
        <f>IF(MONTH(DATE(CalYear,11,31))=11,CHOOSE(WEEKDAY(DATE(CalYear,11,31)),"S","M","T","W","T","F","S"),"")</f>
        <v>0</v>
      </c>
      <c r="AI4" s="22" t="s">
        <v>89</v>
      </c>
      <c r="AJ4" s="23" t="s">
        <v>90</v>
      </c>
      <c r="AK4" s="24" t="s">
        <v>91</v>
      </c>
      <c r="AL4" s="25" t="s">
        <v>92</v>
      </c>
      <c r="AM4" s="26" t="s">
        <v>93</v>
      </c>
    </row>
    <row r="5" spans="2:39" ht="18" customHeight="1">
      <c r="B5" s="27" t="s">
        <v>68</v>
      </c>
      <c r="C5" s="28">
        <f>IF(MONTH(DATE(CalYear,11,1))=11,1,"")</f>
        <v>0</v>
      </c>
      <c r="D5" s="28">
        <f>IF(MONTH(DATE(CalYear,11,2))=11,2,"")</f>
        <v>0</v>
      </c>
      <c r="E5" s="28">
        <f>IF(MONTH(DATE(CalYear,11,3))=11,3,"")</f>
        <v>0</v>
      </c>
      <c r="F5" s="28">
        <f>IF(MONTH(DATE(CalYear,11,4))=11,4,"")</f>
        <v>0</v>
      </c>
      <c r="G5" s="28">
        <f>IF(MONTH(DATE(CalYear,11,5))=11,5,"")</f>
        <v>0</v>
      </c>
      <c r="H5" s="28">
        <f>IF(MONTH(DATE(CalYear,11,6))=11,6,"")</f>
        <v>0</v>
      </c>
      <c r="I5" s="28">
        <f>IF(MONTH(DATE(CalYear,11,7))=11,7,"")</f>
        <v>0</v>
      </c>
      <c r="J5" s="28">
        <f>IF(MONTH(DATE(CalYear,11,8))=11,8,"")</f>
        <v>0</v>
      </c>
      <c r="K5" s="28">
        <f>IF(MONTH(DATE(CalYear,11,9))=11,9,"")</f>
        <v>0</v>
      </c>
      <c r="L5" s="28">
        <f>IF(MONTH(DATE(CalYear,11,10))=11,10,"")</f>
        <v>0</v>
      </c>
      <c r="M5" s="28">
        <f>IF(MONTH(DATE(CalYear,11,11))=11,11,"")</f>
        <v>0</v>
      </c>
      <c r="N5" s="28">
        <f>IF(MONTH(DATE(CalYear,11,12))=11,12,"")</f>
        <v>0</v>
      </c>
      <c r="O5" s="28">
        <f>IF(MONTH(DATE(CalYear,11,13))=11,13,"")</f>
        <v>0</v>
      </c>
      <c r="P5" s="28">
        <f>IF(MONTH(DATE(CalYear,11,14))=11,14,"")</f>
        <v>0</v>
      </c>
      <c r="Q5" s="28">
        <f>IF(MONTH(DATE(CalYear,11,15))=11,15,"")</f>
        <v>0</v>
      </c>
      <c r="R5" s="28">
        <f>IF(MONTH(DATE(CalYear,11,16))=11,16,"")</f>
        <v>0</v>
      </c>
      <c r="S5" s="28">
        <f>IF(MONTH(DATE(CalYear,11,17))=11,17,"")</f>
        <v>0</v>
      </c>
      <c r="T5" s="28">
        <f>IF(MONTH(DATE(CalYear,11,18))=11,18,"")</f>
        <v>0</v>
      </c>
      <c r="U5" s="28">
        <f>IF(MONTH(DATE(CalYear,11,19))=11,19,"")</f>
        <v>0</v>
      </c>
      <c r="V5" s="28">
        <f>IF(MONTH(DATE(CalYear,11,20))=11,20,"")</f>
        <v>0</v>
      </c>
      <c r="W5" s="28">
        <f>IF(MONTH(DATE(CalYear,11,21))=11,21,"")</f>
        <v>0</v>
      </c>
      <c r="X5" s="28">
        <f>IF(MONTH(DATE(CalYear,11,22))=11,22,"")</f>
        <v>0</v>
      </c>
      <c r="Y5" s="28">
        <f>IF(MONTH(DATE(CalYear,11,23))=11,23,"")</f>
        <v>0</v>
      </c>
      <c r="Z5" s="28">
        <f>IF(MONTH(DATE(CalYear,11,24))=11,24,"")</f>
        <v>0</v>
      </c>
      <c r="AA5" s="28">
        <f>IF(MONTH(DATE(CalYear,11,25))=11,25,"")</f>
        <v>0</v>
      </c>
      <c r="AB5" s="28">
        <f>IF(MONTH(DATE(CalYear,11,26))=11,26,"")</f>
        <v>0</v>
      </c>
      <c r="AC5" s="28">
        <f>IF(MONTH(DATE(CalYear,11,27))=11,27,"")</f>
        <v>0</v>
      </c>
      <c r="AD5" s="28">
        <f>IF(MONTH(DATE(CalYear,11,28))=11,28,"")</f>
        <v>0</v>
      </c>
      <c r="AE5" s="28">
        <f>IF(MONTH(DATE(CalYear,11,29))=11,29,"")</f>
        <v>0</v>
      </c>
      <c r="AF5" s="28">
        <f>IF(MONTH(DATE(CalYear,11,30))=11,30,"")</f>
        <v>0</v>
      </c>
      <c r="AG5" s="28">
        <f>IF(MONTH(DATE(CalYear,11,31))=11,31,"")</f>
        <v>0</v>
      </c>
      <c r="AI5" s="22"/>
      <c r="AJ5" s="23"/>
      <c r="AK5" s="24"/>
      <c r="AL5" s="25"/>
      <c r="AM5" s="26"/>
    </row>
    <row r="6" spans="2:39" ht="17" customHeight="1">
      <c r="B6" s="29">
        <f>IF(Summary!B6="","",Summary!B6)</f>
        <v>0</v>
      </c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  <c r="AE6" s="30"/>
      <c r="AF6" s="30"/>
      <c r="AG6" s="30"/>
      <c r="AI6" s="31">
        <f>SUMPRODUCT(COUNTIF(C6:AG6,Codes)*(Codes&lt;&gt;"")*(CodeBucket="Vacation")*CodeDays)</f>
        <v>0</v>
      </c>
      <c r="AJ6" s="32">
        <f>SUMPRODUCT(COUNTIF(C6:AG6,Codes)*(Codes&lt;&gt;"")*(CodeBucket="Sick")*CodeDays)</f>
        <v>0</v>
      </c>
      <c r="AK6" s="33">
        <f>SUMPRODUCT(COUNTIF(C6:AG6,Codes)*(Codes&lt;&gt;"")*(CodeBucket="Personal")*CodeDays)</f>
        <v>0</v>
      </c>
      <c r="AL6" s="34">
        <f>SUMPRODUCT(COUNTIF(C6:AG6,Codes)*(Codes&lt;&gt;"")*(CodeBucket="Other")*CodeDays)</f>
        <v>0</v>
      </c>
      <c r="AM6" s="35">
        <f>SUM(AI6:AL6)</f>
        <v>0</v>
      </c>
    </row>
    <row r="7" spans="2:39" ht="17" customHeight="1">
      <c r="B7" s="29">
        <f>IF(Summary!B7="","",Summary!B7)</f>
        <v>0</v>
      </c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  <c r="AB7" s="30"/>
      <c r="AC7" s="30"/>
      <c r="AD7" s="30"/>
      <c r="AE7" s="30"/>
      <c r="AF7" s="30"/>
      <c r="AG7" s="30"/>
      <c r="AI7" s="31">
        <f>SUMPRODUCT(COUNTIF(C7:AG7,Codes)*(Codes&lt;&gt;"")*(CodeBucket="Vacation")*CodeDays)</f>
        <v>0</v>
      </c>
      <c r="AJ7" s="32">
        <f>SUMPRODUCT(COUNTIF(C7:AG7,Codes)*(Codes&lt;&gt;"")*(CodeBucket="Sick")*CodeDays)</f>
        <v>0</v>
      </c>
      <c r="AK7" s="33">
        <f>SUMPRODUCT(COUNTIF(C7:AG7,Codes)*(Codes&lt;&gt;"")*(CodeBucket="Personal")*CodeDays)</f>
        <v>0</v>
      </c>
      <c r="AL7" s="34">
        <f>SUMPRODUCT(COUNTIF(C7:AG7,Codes)*(Codes&lt;&gt;"")*(CodeBucket="Other")*CodeDays)</f>
        <v>0</v>
      </c>
      <c r="AM7" s="35">
        <f>SUM(AI7:AL7)</f>
        <v>0</v>
      </c>
    </row>
    <row r="8" spans="2:39" ht="17" customHeight="1">
      <c r="B8" s="29">
        <f>IF(Summary!B8="","",Summary!B8)</f>
        <v>0</v>
      </c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30"/>
      <c r="AA8" s="30"/>
      <c r="AB8" s="30"/>
      <c r="AC8" s="30"/>
      <c r="AD8" s="30"/>
      <c r="AE8" s="30"/>
      <c r="AF8" s="30"/>
      <c r="AG8" s="30"/>
      <c r="AI8" s="31">
        <f>SUMPRODUCT(COUNTIF(C8:AG8,Codes)*(Codes&lt;&gt;"")*(CodeBucket="Vacation")*CodeDays)</f>
        <v>0</v>
      </c>
      <c r="AJ8" s="32">
        <f>SUMPRODUCT(COUNTIF(C8:AG8,Codes)*(Codes&lt;&gt;"")*(CodeBucket="Sick")*CodeDays)</f>
        <v>0</v>
      </c>
      <c r="AK8" s="33">
        <f>SUMPRODUCT(COUNTIF(C8:AG8,Codes)*(Codes&lt;&gt;"")*(CodeBucket="Personal")*CodeDays)</f>
        <v>0</v>
      </c>
      <c r="AL8" s="34">
        <f>SUMPRODUCT(COUNTIF(C8:AG8,Codes)*(Codes&lt;&gt;"")*(CodeBucket="Other")*CodeDays)</f>
        <v>0</v>
      </c>
      <c r="AM8" s="35">
        <f>SUM(AI8:AL8)</f>
        <v>0</v>
      </c>
    </row>
    <row r="9" spans="2:39" ht="17" customHeight="1">
      <c r="B9" s="29">
        <f>IF(Summary!B9="","",Summary!B9)</f>
        <v>0</v>
      </c>
      <c r="C9" s="30"/>
      <c r="D9" s="30"/>
      <c r="E9" s="30"/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  <c r="AB9" s="30"/>
      <c r="AC9" s="30"/>
      <c r="AD9" s="30"/>
      <c r="AE9" s="30"/>
      <c r="AF9" s="30"/>
      <c r="AG9" s="30"/>
      <c r="AI9" s="31">
        <f>SUMPRODUCT(COUNTIF(C9:AG9,Codes)*(Codes&lt;&gt;"")*(CodeBucket="Vacation")*CodeDays)</f>
        <v>0</v>
      </c>
      <c r="AJ9" s="32">
        <f>SUMPRODUCT(COUNTIF(C9:AG9,Codes)*(Codes&lt;&gt;"")*(CodeBucket="Sick")*CodeDays)</f>
        <v>0</v>
      </c>
      <c r="AK9" s="33">
        <f>SUMPRODUCT(COUNTIF(C9:AG9,Codes)*(Codes&lt;&gt;"")*(CodeBucket="Personal")*CodeDays)</f>
        <v>0</v>
      </c>
      <c r="AL9" s="34">
        <f>SUMPRODUCT(COUNTIF(C9:AG9,Codes)*(Codes&lt;&gt;"")*(CodeBucket="Other")*CodeDays)</f>
        <v>0</v>
      </c>
      <c r="AM9" s="35">
        <f>SUM(AI9:AL9)</f>
        <v>0</v>
      </c>
    </row>
    <row r="10" spans="2:39" ht="17" customHeight="1">
      <c r="B10" s="29">
        <f>IF(Summary!B10="","",Summary!B10)</f>
        <v>0</v>
      </c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  <c r="AA10" s="30"/>
      <c r="AB10" s="30"/>
      <c r="AC10" s="30"/>
      <c r="AD10" s="30"/>
      <c r="AE10" s="30"/>
      <c r="AF10" s="30"/>
      <c r="AG10" s="30"/>
      <c r="AI10" s="31">
        <f>SUMPRODUCT(COUNTIF(C10:AG10,Codes)*(Codes&lt;&gt;"")*(CodeBucket="Vacation")*CodeDays)</f>
        <v>0</v>
      </c>
      <c r="AJ10" s="32">
        <f>SUMPRODUCT(COUNTIF(C10:AG10,Codes)*(Codes&lt;&gt;"")*(CodeBucket="Sick")*CodeDays)</f>
        <v>0</v>
      </c>
      <c r="AK10" s="33">
        <f>SUMPRODUCT(COUNTIF(C10:AG10,Codes)*(Codes&lt;&gt;"")*(CodeBucket="Personal")*CodeDays)</f>
        <v>0</v>
      </c>
      <c r="AL10" s="34">
        <f>SUMPRODUCT(COUNTIF(C10:AG10,Codes)*(Codes&lt;&gt;"")*(CodeBucket="Other")*CodeDays)</f>
        <v>0</v>
      </c>
      <c r="AM10" s="35">
        <f>SUM(AI10:AL10)</f>
        <v>0</v>
      </c>
    </row>
    <row r="11" spans="2:39" ht="17" customHeight="1">
      <c r="B11" s="29">
        <f>IF(Summary!B11="","",Summary!B11)</f>
        <v>0</v>
      </c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  <c r="AA11" s="30"/>
      <c r="AB11" s="30"/>
      <c r="AC11" s="30"/>
      <c r="AD11" s="30"/>
      <c r="AE11" s="30"/>
      <c r="AF11" s="30"/>
      <c r="AG11" s="30"/>
      <c r="AI11" s="31">
        <f>SUMPRODUCT(COUNTIF(C11:AG11,Codes)*(Codes&lt;&gt;"")*(CodeBucket="Vacation")*CodeDays)</f>
        <v>0</v>
      </c>
      <c r="AJ11" s="32">
        <f>SUMPRODUCT(COUNTIF(C11:AG11,Codes)*(Codes&lt;&gt;"")*(CodeBucket="Sick")*CodeDays)</f>
        <v>0</v>
      </c>
      <c r="AK11" s="33">
        <f>SUMPRODUCT(COUNTIF(C11:AG11,Codes)*(Codes&lt;&gt;"")*(CodeBucket="Personal")*CodeDays)</f>
        <v>0</v>
      </c>
      <c r="AL11" s="34">
        <f>SUMPRODUCT(COUNTIF(C11:AG11,Codes)*(Codes&lt;&gt;"")*(CodeBucket="Other")*CodeDays)</f>
        <v>0</v>
      </c>
      <c r="AM11" s="35">
        <f>SUM(AI11:AL11)</f>
        <v>0</v>
      </c>
    </row>
    <row r="12" spans="2:39" ht="17" customHeight="1">
      <c r="B12" s="29">
        <f>IF(Summary!B12="","",Summary!B12)</f>
        <v>0</v>
      </c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0"/>
      <c r="S12" s="30"/>
      <c r="T12" s="30"/>
      <c r="U12" s="30"/>
      <c r="V12" s="30"/>
      <c r="W12" s="30"/>
      <c r="X12" s="30"/>
      <c r="Y12" s="30"/>
      <c r="Z12" s="30"/>
      <c r="AA12" s="30"/>
      <c r="AB12" s="30"/>
      <c r="AC12" s="30"/>
      <c r="AD12" s="30"/>
      <c r="AE12" s="30"/>
      <c r="AF12" s="30"/>
      <c r="AG12" s="30"/>
      <c r="AI12" s="31">
        <f>SUMPRODUCT(COUNTIF(C12:AG12,Codes)*(Codes&lt;&gt;"")*(CodeBucket="Vacation")*CodeDays)</f>
        <v>0</v>
      </c>
      <c r="AJ12" s="32">
        <f>SUMPRODUCT(COUNTIF(C12:AG12,Codes)*(Codes&lt;&gt;"")*(CodeBucket="Sick")*CodeDays)</f>
        <v>0</v>
      </c>
      <c r="AK12" s="33">
        <f>SUMPRODUCT(COUNTIF(C12:AG12,Codes)*(Codes&lt;&gt;"")*(CodeBucket="Personal")*CodeDays)</f>
        <v>0</v>
      </c>
      <c r="AL12" s="34">
        <f>SUMPRODUCT(COUNTIF(C12:AG12,Codes)*(Codes&lt;&gt;"")*(CodeBucket="Other")*CodeDays)</f>
        <v>0</v>
      </c>
      <c r="AM12" s="35">
        <f>SUM(AI12:AL12)</f>
        <v>0</v>
      </c>
    </row>
    <row r="13" spans="2:39" ht="17" customHeight="1">
      <c r="B13" s="29">
        <f>IF(Summary!B13="","",Summary!B13)</f>
        <v>0</v>
      </c>
      <c r="C13" s="30"/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30"/>
      <c r="T13" s="30"/>
      <c r="U13" s="30"/>
      <c r="V13" s="30"/>
      <c r="W13" s="30"/>
      <c r="X13" s="30"/>
      <c r="Y13" s="30"/>
      <c r="Z13" s="30"/>
      <c r="AA13" s="30"/>
      <c r="AB13" s="30"/>
      <c r="AC13" s="30"/>
      <c r="AD13" s="30"/>
      <c r="AE13" s="30"/>
      <c r="AF13" s="30"/>
      <c r="AG13" s="30"/>
      <c r="AI13" s="31">
        <f>SUMPRODUCT(COUNTIF(C13:AG13,Codes)*(Codes&lt;&gt;"")*(CodeBucket="Vacation")*CodeDays)</f>
        <v>0</v>
      </c>
      <c r="AJ13" s="32">
        <f>SUMPRODUCT(COUNTIF(C13:AG13,Codes)*(Codes&lt;&gt;"")*(CodeBucket="Sick")*CodeDays)</f>
        <v>0</v>
      </c>
      <c r="AK13" s="33">
        <f>SUMPRODUCT(COUNTIF(C13:AG13,Codes)*(Codes&lt;&gt;"")*(CodeBucket="Personal")*CodeDays)</f>
        <v>0</v>
      </c>
      <c r="AL13" s="34">
        <f>SUMPRODUCT(COUNTIF(C13:AG13,Codes)*(Codes&lt;&gt;"")*(CodeBucket="Other")*CodeDays)</f>
        <v>0</v>
      </c>
      <c r="AM13" s="35">
        <f>SUM(AI13:AL13)</f>
        <v>0</v>
      </c>
    </row>
    <row r="14" spans="2:39" ht="17" customHeight="1">
      <c r="B14" s="29">
        <f>IF(Summary!B14="","",Summary!B14)</f>
        <v>0</v>
      </c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30"/>
      <c r="U14" s="30"/>
      <c r="V14" s="30"/>
      <c r="W14" s="30"/>
      <c r="X14" s="30"/>
      <c r="Y14" s="30"/>
      <c r="Z14" s="30"/>
      <c r="AA14" s="30"/>
      <c r="AB14" s="30"/>
      <c r="AC14" s="30"/>
      <c r="AD14" s="30"/>
      <c r="AE14" s="30"/>
      <c r="AF14" s="30"/>
      <c r="AG14" s="30"/>
      <c r="AI14" s="31">
        <f>SUMPRODUCT(COUNTIF(C14:AG14,Codes)*(Codes&lt;&gt;"")*(CodeBucket="Vacation")*CodeDays)</f>
        <v>0</v>
      </c>
      <c r="AJ14" s="32">
        <f>SUMPRODUCT(COUNTIF(C14:AG14,Codes)*(Codes&lt;&gt;"")*(CodeBucket="Sick")*CodeDays)</f>
        <v>0</v>
      </c>
      <c r="AK14" s="33">
        <f>SUMPRODUCT(COUNTIF(C14:AG14,Codes)*(Codes&lt;&gt;"")*(CodeBucket="Personal")*CodeDays)</f>
        <v>0</v>
      </c>
      <c r="AL14" s="34">
        <f>SUMPRODUCT(COUNTIF(C14:AG14,Codes)*(Codes&lt;&gt;"")*(CodeBucket="Other")*CodeDays)</f>
        <v>0</v>
      </c>
      <c r="AM14" s="35">
        <f>SUM(AI14:AL14)</f>
        <v>0</v>
      </c>
    </row>
    <row r="15" spans="2:39" ht="17" customHeight="1">
      <c r="B15" s="29">
        <f>IF(Summary!B15="","",Summary!B15)</f>
        <v>0</v>
      </c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0"/>
      <c r="AA15" s="30"/>
      <c r="AB15" s="30"/>
      <c r="AC15" s="30"/>
      <c r="AD15" s="30"/>
      <c r="AE15" s="30"/>
      <c r="AF15" s="30"/>
      <c r="AG15" s="30"/>
      <c r="AI15" s="31">
        <f>SUMPRODUCT(COUNTIF(C15:AG15,Codes)*(Codes&lt;&gt;"")*(CodeBucket="Vacation")*CodeDays)</f>
        <v>0</v>
      </c>
      <c r="AJ15" s="32">
        <f>SUMPRODUCT(COUNTIF(C15:AG15,Codes)*(Codes&lt;&gt;"")*(CodeBucket="Sick")*CodeDays)</f>
        <v>0</v>
      </c>
      <c r="AK15" s="33">
        <f>SUMPRODUCT(COUNTIF(C15:AG15,Codes)*(Codes&lt;&gt;"")*(CodeBucket="Personal")*CodeDays)</f>
        <v>0</v>
      </c>
      <c r="AL15" s="34">
        <f>SUMPRODUCT(COUNTIF(C15:AG15,Codes)*(Codes&lt;&gt;"")*(CodeBucket="Other")*CodeDays)</f>
        <v>0</v>
      </c>
      <c r="AM15" s="35">
        <f>SUM(AI15:AL15)</f>
        <v>0</v>
      </c>
    </row>
    <row r="16" spans="2:39" ht="17" customHeight="1">
      <c r="B16" s="29">
        <f>IF(Summary!B16="","",Summary!B16)</f>
        <v>0</v>
      </c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0"/>
      <c r="R16" s="30"/>
      <c r="S16" s="30"/>
      <c r="T16" s="30"/>
      <c r="U16" s="30"/>
      <c r="V16" s="30"/>
      <c r="W16" s="30"/>
      <c r="X16" s="30"/>
      <c r="Y16" s="30"/>
      <c r="Z16" s="30"/>
      <c r="AA16" s="30"/>
      <c r="AB16" s="30"/>
      <c r="AC16" s="30"/>
      <c r="AD16" s="30"/>
      <c r="AE16" s="30"/>
      <c r="AF16" s="30"/>
      <c r="AG16" s="30"/>
      <c r="AI16" s="31">
        <f>SUMPRODUCT(COUNTIF(C16:AG16,Codes)*(Codes&lt;&gt;"")*(CodeBucket="Vacation")*CodeDays)</f>
        <v>0</v>
      </c>
      <c r="AJ16" s="32">
        <f>SUMPRODUCT(COUNTIF(C16:AG16,Codes)*(Codes&lt;&gt;"")*(CodeBucket="Sick")*CodeDays)</f>
        <v>0</v>
      </c>
      <c r="AK16" s="33">
        <f>SUMPRODUCT(COUNTIF(C16:AG16,Codes)*(Codes&lt;&gt;"")*(CodeBucket="Personal")*CodeDays)</f>
        <v>0</v>
      </c>
      <c r="AL16" s="34">
        <f>SUMPRODUCT(COUNTIF(C16:AG16,Codes)*(Codes&lt;&gt;"")*(CodeBucket="Other")*CodeDays)</f>
        <v>0</v>
      </c>
      <c r="AM16" s="35">
        <f>SUM(AI16:AL16)</f>
        <v>0</v>
      </c>
    </row>
    <row r="17" spans="2:39" ht="17" customHeight="1">
      <c r="B17" s="29">
        <f>IF(Summary!B17="","",Summary!B17)</f>
        <v>0</v>
      </c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  <c r="O17" s="30"/>
      <c r="P17" s="30"/>
      <c r="Q17" s="30"/>
      <c r="R17" s="30"/>
      <c r="S17" s="30"/>
      <c r="T17" s="30"/>
      <c r="U17" s="30"/>
      <c r="V17" s="30"/>
      <c r="W17" s="30"/>
      <c r="X17" s="30"/>
      <c r="Y17" s="30"/>
      <c r="Z17" s="30"/>
      <c r="AA17" s="30"/>
      <c r="AB17" s="30"/>
      <c r="AC17" s="30"/>
      <c r="AD17" s="30"/>
      <c r="AE17" s="30"/>
      <c r="AF17" s="30"/>
      <c r="AG17" s="30"/>
      <c r="AI17" s="31">
        <f>SUMPRODUCT(COUNTIF(C17:AG17,Codes)*(Codes&lt;&gt;"")*(CodeBucket="Vacation")*CodeDays)</f>
        <v>0</v>
      </c>
      <c r="AJ17" s="32">
        <f>SUMPRODUCT(COUNTIF(C17:AG17,Codes)*(Codes&lt;&gt;"")*(CodeBucket="Sick")*CodeDays)</f>
        <v>0</v>
      </c>
      <c r="AK17" s="33">
        <f>SUMPRODUCT(COUNTIF(C17:AG17,Codes)*(Codes&lt;&gt;"")*(CodeBucket="Personal")*CodeDays)</f>
        <v>0</v>
      </c>
      <c r="AL17" s="34">
        <f>SUMPRODUCT(COUNTIF(C17:AG17,Codes)*(Codes&lt;&gt;"")*(CodeBucket="Other")*CodeDays)</f>
        <v>0</v>
      </c>
      <c r="AM17" s="35">
        <f>SUM(AI17:AL17)</f>
        <v>0</v>
      </c>
    </row>
    <row r="18" spans="2:39" ht="17" customHeight="1">
      <c r="B18" s="29">
        <f>IF(Summary!B18="","",Summary!B18)</f>
        <v>0</v>
      </c>
      <c r="C18" s="30"/>
      <c r="D18" s="30"/>
      <c r="E18" s="30"/>
      <c r="F18" s="30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30"/>
      <c r="R18" s="30"/>
      <c r="S18" s="30"/>
      <c r="T18" s="30"/>
      <c r="U18" s="30"/>
      <c r="V18" s="30"/>
      <c r="W18" s="30"/>
      <c r="X18" s="30"/>
      <c r="Y18" s="30"/>
      <c r="Z18" s="30"/>
      <c r="AA18" s="30"/>
      <c r="AB18" s="30"/>
      <c r="AC18" s="30"/>
      <c r="AD18" s="30"/>
      <c r="AE18" s="30"/>
      <c r="AF18" s="30"/>
      <c r="AG18" s="30"/>
      <c r="AI18" s="31">
        <f>SUMPRODUCT(COUNTIF(C18:AG18,Codes)*(Codes&lt;&gt;"")*(CodeBucket="Vacation")*CodeDays)</f>
        <v>0</v>
      </c>
      <c r="AJ18" s="32">
        <f>SUMPRODUCT(COUNTIF(C18:AG18,Codes)*(Codes&lt;&gt;"")*(CodeBucket="Sick")*CodeDays)</f>
        <v>0</v>
      </c>
      <c r="AK18" s="33">
        <f>SUMPRODUCT(COUNTIF(C18:AG18,Codes)*(Codes&lt;&gt;"")*(CodeBucket="Personal")*CodeDays)</f>
        <v>0</v>
      </c>
      <c r="AL18" s="34">
        <f>SUMPRODUCT(COUNTIF(C18:AG18,Codes)*(Codes&lt;&gt;"")*(CodeBucket="Other")*CodeDays)</f>
        <v>0</v>
      </c>
      <c r="AM18" s="35">
        <f>SUM(AI18:AL18)</f>
        <v>0</v>
      </c>
    </row>
    <row r="19" spans="2:39" ht="17" customHeight="1">
      <c r="B19" s="29">
        <f>IF(Summary!B19="","",Summary!B19)</f>
        <v>0</v>
      </c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30"/>
      <c r="AE19" s="30"/>
      <c r="AF19" s="30"/>
      <c r="AG19" s="30"/>
      <c r="AI19" s="31">
        <f>SUMPRODUCT(COUNTIF(C19:AG19,Codes)*(Codes&lt;&gt;"")*(CodeBucket="Vacation")*CodeDays)</f>
        <v>0</v>
      </c>
      <c r="AJ19" s="32">
        <f>SUMPRODUCT(COUNTIF(C19:AG19,Codes)*(Codes&lt;&gt;"")*(CodeBucket="Sick")*CodeDays)</f>
        <v>0</v>
      </c>
      <c r="AK19" s="33">
        <f>SUMPRODUCT(COUNTIF(C19:AG19,Codes)*(Codes&lt;&gt;"")*(CodeBucket="Personal")*CodeDays)</f>
        <v>0</v>
      </c>
      <c r="AL19" s="34">
        <f>SUMPRODUCT(COUNTIF(C19:AG19,Codes)*(Codes&lt;&gt;"")*(CodeBucket="Other")*CodeDays)</f>
        <v>0</v>
      </c>
      <c r="AM19" s="35">
        <f>SUM(AI19:AL19)</f>
        <v>0</v>
      </c>
    </row>
    <row r="20" spans="2:39" ht="17" customHeight="1">
      <c r="B20" s="29">
        <f>IF(Summary!B20="","",Summary!B20)</f>
        <v>0</v>
      </c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0"/>
      <c r="V20" s="30"/>
      <c r="W20" s="30"/>
      <c r="X20" s="30"/>
      <c r="Y20" s="30"/>
      <c r="Z20" s="30"/>
      <c r="AA20" s="30"/>
      <c r="AB20" s="30"/>
      <c r="AC20" s="30"/>
      <c r="AD20" s="30"/>
      <c r="AE20" s="30"/>
      <c r="AF20" s="30"/>
      <c r="AG20" s="30"/>
      <c r="AI20" s="31">
        <f>SUMPRODUCT(COUNTIF(C20:AG20,Codes)*(Codes&lt;&gt;"")*(CodeBucket="Vacation")*CodeDays)</f>
        <v>0</v>
      </c>
      <c r="AJ20" s="32">
        <f>SUMPRODUCT(COUNTIF(C20:AG20,Codes)*(Codes&lt;&gt;"")*(CodeBucket="Sick")*CodeDays)</f>
        <v>0</v>
      </c>
      <c r="AK20" s="33">
        <f>SUMPRODUCT(COUNTIF(C20:AG20,Codes)*(Codes&lt;&gt;"")*(CodeBucket="Personal")*CodeDays)</f>
        <v>0</v>
      </c>
      <c r="AL20" s="34">
        <f>SUMPRODUCT(COUNTIF(C20:AG20,Codes)*(Codes&lt;&gt;"")*(CodeBucket="Other")*CodeDays)</f>
        <v>0</v>
      </c>
      <c r="AM20" s="35">
        <f>SUM(AI20:AL20)</f>
        <v>0</v>
      </c>
    </row>
    <row r="21" spans="2:39" ht="17" customHeight="1">
      <c r="B21" s="29">
        <f>IF(Summary!B21="","",Summary!B21)</f>
        <v>0</v>
      </c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0"/>
      <c r="P21" s="30"/>
      <c r="Q21" s="30"/>
      <c r="R21" s="30"/>
      <c r="S21" s="30"/>
      <c r="T21" s="30"/>
      <c r="U21" s="30"/>
      <c r="V21" s="30"/>
      <c r="W21" s="30"/>
      <c r="X21" s="30"/>
      <c r="Y21" s="30"/>
      <c r="Z21" s="30"/>
      <c r="AA21" s="30"/>
      <c r="AB21" s="30"/>
      <c r="AC21" s="30"/>
      <c r="AD21" s="30"/>
      <c r="AE21" s="30"/>
      <c r="AF21" s="30"/>
      <c r="AG21" s="30"/>
      <c r="AI21" s="31">
        <f>SUMPRODUCT(COUNTIF(C21:AG21,Codes)*(Codes&lt;&gt;"")*(CodeBucket="Vacation")*CodeDays)</f>
        <v>0</v>
      </c>
      <c r="AJ21" s="32">
        <f>SUMPRODUCT(COUNTIF(C21:AG21,Codes)*(Codes&lt;&gt;"")*(CodeBucket="Sick")*CodeDays)</f>
        <v>0</v>
      </c>
      <c r="AK21" s="33">
        <f>SUMPRODUCT(COUNTIF(C21:AG21,Codes)*(Codes&lt;&gt;"")*(CodeBucket="Personal")*CodeDays)</f>
        <v>0</v>
      </c>
      <c r="AL21" s="34">
        <f>SUMPRODUCT(COUNTIF(C21:AG21,Codes)*(Codes&lt;&gt;"")*(CodeBucket="Other")*CodeDays)</f>
        <v>0</v>
      </c>
      <c r="AM21" s="35">
        <f>SUM(AI21:AL21)</f>
        <v>0</v>
      </c>
    </row>
    <row r="22" spans="2:39" ht="17" customHeight="1">
      <c r="B22" s="29">
        <f>IF(Summary!B22="","",Summary!B22)</f>
        <v>0</v>
      </c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0"/>
      <c r="W22" s="30"/>
      <c r="X22" s="30"/>
      <c r="Y22" s="30"/>
      <c r="Z22" s="30"/>
      <c r="AA22" s="30"/>
      <c r="AB22" s="30"/>
      <c r="AC22" s="30"/>
      <c r="AD22" s="30"/>
      <c r="AE22" s="30"/>
      <c r="AF22" s="30"/>
      <c r="AG22" s="30"/>
      <c r="AI22" s="31">
        <f>SUMPRODUCT(COUNTIF(C22:AG22,Codes)*(Codes&lt;&gt;"")*(CodeBucket="Vacation")*CodeDays)</f>
        <v>0</v>
      </c>
      <c r="AJ22" s="32">
        <f>SUMPRODUCT(COUNTIF(C22:AG22,Codes)*(Codes&lt;&gt;"")*(CodeBucket="Sick")*CodeDays)</f>
        <v>0</v>
      </c>
      <c r="AK22" s="33">
        <f>SUMPRODUCT(COUNTIF(C22:AG22,Codes)*(Codes&lt;&gt;"")*(CodeBucket="Personal")*CodeDays)</f>
        <v>0</v>
      </c>
      <c r="AL22" s="34">
        <f>SUMPRODUCT(COUNTIF(C22:AG22,Codes)*(Codes&lt;&gt;"")*(CodeBucket="Other")*CodeDays)</f>
        <v>0</v>
      </c>
      <c r="AM22" s="35">
        <f>SUM(AI22:AL22)</f>
        <v>0</v>
      </c>
    </row>
    <row r="23" spans="2:39" ht="17" customHeight="1">
      <c r="B23" s="29">
        <f>IF(Summary!B23="","",Summary!B23)</f>
        <v>0</v>
      </c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30"/>
      <c r="S23" s="30"/>
      <c r="T23" s="30"/>
      <c r="U23" s="30"/>
      <c r="V23" s="30"/>
      <c r="W23" s="30"/>
      <c r="X23" s="30"/>
      <c r="Y23" s="30"/>
      <c r="Z23" s="30"/>
      <c r="AA23" s="30"/>
      <c r="AB23" s="30"/>
      <c r="AC23" s="30"/>
      <c r="AD23" s="30"/>
      <c r="AE23" s="30"/>
      <c r="AF23" s="30"/>
      <c r="AG23" s="30"/>
      <c r="AI23" s="31">
        <f>SUMPRODUCT(COUNTIF(C23:AG23,Codes)*(Codes&lt;&gt;"")*(CodeBucket="Vacation")*CodeDays)</f>
        <v>0</v>
      </c>
      <c r="AJ23" s="32">
        <f>SUMPRODUCT(COUNTIF(C23:AG23,Codes)*(Codes&lt;&gt;"")*(CodeBucket="Sick")*CodeDays)</f>
        <v>0</v>
      </c>
      <c r="AK23" s="33">
        <f>SUMPRODUCT(COUNTIF(C23:AG23,Codes)*(Codes&lt;&gt;"")*(CodeBucket="Personal")*CodeDays)</f>
        <v>0</v>
      </c>
      <c r="AL23" s="34">
        <f>SUMPRODUCT(COUNTIF(C23:AG23,Codes)*(Codes&lt;&gt;"")*(CodeBucket="Other")*CodeDays)</f>
        <v>0</v>
      </c>
      <c r="AM23" s="35">
        <f>SUM(AI23:AL23)</f>
        <v>0</v>
      </c>
    </row>
    <row r="24" spans="2:39" ht="17" customHeight="1">
      <c r="B24" s="29">
        <f>IF(Summary!B24="","",Summary!B24)</f>
        <v>0</v>
      </c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30"/>
      <c r="S24" s="30"/>
      <c r="T24" s="30"/>
      <c r="U24" s="30"/>
      <c r="V24" s="30"/>
      <c r="W24" s="30"/>
      <c r="X24" s="30"/>
      <c r="Y24" s="30"/>
      <c r="Z24" s="30"/>
      <c r="AA24" s="30"/>
      <c r="AB24" s="30"/>
      <c r="AC24" s="30"/>
      <c r="AD24" s="30"/>
      <c r="AE24" s="30"/>
      <c r="AF24" s="30"/>
      <c r="AG24" s="30"/>
      <c r="AI24" s="31">
        <f>SUMPRODUCT(COUNTIF(C24:AG24,Codes)*(Codes&lt;&gt;"")*(CodeBucket="Vacation")*CodeDays)</f>
        <v>0</v>
      </c>
      <c r="AJ24" s="32">
        <f>SUMPRODUCT(COUNTIF(C24:AG24,Codes)*(Codes&lt;&gt;"")*(CodeBucket="Sick")*CodeDays)</f>
        <v>0</v>
      </c>
      <c r="AK24" s="33">
        <f>SUMPRODUCT(COUNTIF(C24:AG24,Codes)*(Codes&lt;&gt;"")*(CodeBucket="Personal")*CodeDays)</f>
        <v>0</v>
      </c>
      <c r="AL24" s="34">
        <f>SUMPRODUCT(COUNTIF(C24:AG24,Codes)*(Codes&lt;&gt;"")*(CodeBucket="Other")*CodeDays)</f>
        <v>0</v>
      </c>
      <c r="AM24" s="35">
        <f>SUM(AI24:AL24)</f>
        <v>0</v>
      </c>
    </row>
    <row r="25" spans="2:39" ht="17" customHeight="1">
      <c r="B25" s="29">
        <f>IF(Summary!B25="","",Summary!B25)</f>
        <v>0</v>
      </c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I25" s="31">
        <f>SUMPRODUCT(COUNTIF(C25:AG25,Codes)*(Codes&lt;&gt;"")*(CodeBucket="Vacation")*CodeDays)</f>
        <v>0</v>
      </c>
      <c r="AJ25" s="32">
        <f>SUMPRODUCT(COUNTIF(C25:AG25,Codes)*(Codes&lt;&gt;"")*(CodeBucket="Sick")*CodeDays)</f>
        <v>0</v>
      </c>
      <c r="AK25" s="33">
        <f>SUMPRODUCT(COUNTIF(C25:AG25,Codes)*(Codes&lt;&gt;"")*(CodeBucket="Personal")*CodeDays)</f>
        <v>0</v>
      </c>
      <c r="AL25" s="34">
        <f>SUMPRODUCT(COUNTIF(C25:AG25,Codes)*(Codes&lt;&gt;"")*(CodeBucket="Other")*CodeDays)</f>
        <v>0</v>
      </c>
      <c r="AM25" s="35">
        <f>SUM(AI25:AL25)</f>
        <v>0</v>
      </c>
    </row>
    <row r="26" spans="2:39" ht="17" customHeight="1">
      <c r="B26" s="29">
        <f>IF(Summary!B26="","",Summary!B26)</f>
        <v>0</v>
      </c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I26" s="31">
        <f>SUMPRODUCT(COUNTIF(C26:AG26,Codes)*(Codes&lt;&gt;"")*(CodeBucket="Vacation")*CodeDays)</f>
        <v>0</v>
      </c>
      <c r="AJ26" s="32">
        <f>SUMPRODUCT(COUNTIF(C26:AG26,Codes)*(Codes&lt;&gt;"")*(CodeBucket="Sick")*CodeDays)</f>
        <v>0</v>
      </c>
      <c r="AK26" s="33">
        <f>SUMPRODUCT(COUNTIF(C26:AG26,Codes)*(Codes&lt;&gt;"")*(CodeBucket="Personal")*CodeDays)</f>
        <v>0</v>
      </c>
      <c r="AL26" s="34">
        <f>SUMPRODUCT(COUNTIF(C26:AG26,Codes)*(Codes&lt;&gt;"")*(CodeBucket="Other")*CodeDays)</f>
        <v>0</v>
      </c>
      <c r="AM26" s="35">
        <f>SUM(AI26:AL26)</f>
        <v>0</v>
      </c>
    </row>
    <row r="27" spans="2:39" ht="17" customHeight="1">
      <c r="B27" s="29">
        <f>IF(Summary!B27="","",Summary!B27)</f>
        <v>0</v>
      </c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  <c r="AD27" s="30"/>
      <c r="AE27" s="30"/>
      <c r="AF27" s="30"/>
      <c r="AG27" s="30"/>
      <c r="AI27" s="31">
        <f>SUMPRODUCT(COUNTIF(C27:AG27,Codes)*(Codes&lt;&gt;"")*(CodeBucket="Vacation")*CodeDays)</f>
        <v>0</v>
      </c>
      <c r="AJ27" s="32">
        <f>SUMPRODUCT(COUNTIF(C27:AG27,Codes)*(Codes&lt;&gt;"")*(CodeBucket="Sick")*CodeDays)</f>
        <v>0</v>
      </c>
      <c r="AK27" s="33">
        <f>SUMPRODUCT(COUNTIF(C27:AG27,Codes)*(Codes&lt;&gt;"")*(CodeBucket="Personal")*CodeDays)</f>
        <v>0</v>
      </c>
      <c r="AL27" s="34">
        <f>SUMPRODUCT(COUNTIF(C27:AG27,Codes)*(Codes&lt;&gt;"")*(CodeBucket="Other")*CodeDays)</f>
        <v>0</v>
      </c>
      <c r="AM27" s="35">
        <f>SUM(AI27:AL27)</f>
        <v>0</v>
      </c>
    </row>
    <row r="28" spans="2:39" ht="17" customHeight="1">
      <c r="B28" s="29">
        <f>IF(Summary!B28="","",Summary!B28)</f>
        <v>0</v>
      </c>
      <c r="C28" s="30"/>
      <c r="D28" s="30"/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0"/>
      <c r="P28" s="30"/>
      <c r="Q28" s="30"/>
      <c r="R28" s="30"/>
      <c r="S28" s="30"/>
      <c r="T28" s="30"/>
      <c r="U28" s="30"/>
      <c r="V28" s="30"/>
      <c r="W28" s="30"/>
      <c r="X28" s="30"/>
      <c r="Y28" s="30"/>
      <c r="Z28" s="30"/>
      <c r="AA28" s="30"/>
      <c r="AB28" s="30"/>
      <c r="AC28" s="30"/>
      <c r="AD28" s="30"/>
      <c r="AE28" s="30"/>
      <c r="AF28" s="30"/>
      <c r="AG28" s="30"/>
      <c r="AI28" s="31">
        <f>SUMPRODUCT(COUNTIF(C28:AG28,Codes)*(Codes&lt;&gt;"")*(CodeBucket="Vacation")*CodeDays)</f>
        <v>0</v>
      </c>
      <c r="AJ28" s="32">
        <f>SUMPRODUCT(COUNTIF(C28:AG28,Codes)*(Codes&lt;&gt;"")*(CodeBucket="Sick")*CodeDays)</f>
        <v>0</v>
      </c>
      <c r="AK28" s="33">
        <f>SUMPRODUCT(COUNTIF(C28:AG28,Codes)*(Codes&lt;&gt;"")*(CodeBucket="Personal")*CodeDays)</f>
        <v>0</v>
      </c>
      <c r="AL28" s="34">
        <f>SUMPRODUCT(COUNTIF(C28:AG28,Codes)*(Codes&lt;&gt;"")*(CodeBucket="Other")*CodeDays)</f>
        <v>0</v>
      </c>
      <c r="AM28" s="35">
        <f>SUM(AI28:AL28)</f>
        <v>0</v>
      </c>
    </row>
    <row r="29" spans="2:39" ht="17" customHeight="1">
      <c r="B29" s="29">
        <f>IF(Summary!B29="","",Summary!B29)</f>
        <v>0</v>
      </c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30"/>
      <c r="AD29" s="30"/>
      <c r="AE29" s="30"/>
      <c r="AF29" s="30"/>
      <c r="AG29" s="30"/>
      <c r="AI29" s="31">
        <f>SUMPRODUCT(COUNTIF(C29:AG29,Codes)*(Codes&lt;&gt;"")*(CodeBucket="Vacation")*CodeDays)</f>
        <v>0</v>
      </c>
      <c r="AJ29" s="32">
        <f>SUMPRODUCT(COUNTIF(C29:AG29,Codes)*(Codes&lt;&gt;"")*(CodeBucket="Sick")*CodeDays)</f>
        <v>0</v>
      </c>
      <c r="AK29" s="33">
        <f>SUMPRODUCT(COUNTIF(C29:AG29,Codes)*(Codes&lt;&gt;"")*(CodeBucket="Personal")*CodeDays)</f>
        <v>0</v>
      </c>
      <c r="AL29" s="34">
        <f>SUMPRODUCT(COUNTIF(C29:AG29,Codes)*(Codes&lt;&gt;"")*(CodeBucket="Other")*CodeDays)</f>
        <v>0</v>
      </c>
      <c r="AM29" s="35">
        <f>SUM(AI29:AL29)</f>
        <v>0</v>
      </c>
    </row>
    <row r="30" spans="2:39" ht="17" customHeight="1">
      <c r="B30" s="29">
        <f>IF(Summary!B30="","",Summary!B30)</f>
        <v>0</v>
      </c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  <c r="AF30" s="30"/>
      <c r="AG30" s="30"/>
      <c r="AI30" s="31">
        <f>SUMPRODUCT(COUNTIF(C30:AG30,Codes)*(Codes&lt;&gt;"")*(CodeBucket="Vacation")*CodeDays)</f>
        <v>0</v>
      </c>
      <c r="AJ30" s="32">
        <f>SUMPRODUCT(COUNTIF(C30:AG30,Codes)*(Codes&lt;&gt;"")*(CodeBucket="Sick")*CodeDays)</f>
        <v>0</v>
      </c>
      <c r="AK30" s="33">
        <f>SUMPRODUCT(COUNTIF(C30:AG30,Codes)*(Codes&lt;&gt;"")*(CodeBucket="Personal")*CodeDays)</f>
        <v>0</v>
      </c>
      <c r="AL30" s="34">
        <f>SUMPRODUCT(COUNTIF(C30:AG30,Codes)*(Codes&lt;&gt;"")*(CodeBucket="Other")*CodeDays)</f>
        <v>0</v>
      </c>
      <c r="AM30" s="35">
        <f>SUM(AI30:AL30)</f>
        <v>0</v>
      </c>
    </row>
    <row r="31" spans="2:39" ht="16" customHeight="1">
      <c r="B31" s="36" t="s">
        <v>94</v>
      </c>
      <c r="C31" s="37">
        <f>IF(COUNTA(C6:C30)=0,"",COUNTA(C6:C30))</f>
        <v>0</v>
      </c>
      <c r="D31" s="37">
        <f>IF(COUNTA(D6:D30)=0,"",COUNTA(D6:D30))</f>
        <v>0</v>
      </c>
      <c r="E31" s="37">
        <f>IF(COUNTA(E6:E30)=0,"",COUNTA(E6:E30))</f>
        <v>0</v>
      </c>
      <c r="F31" s="37">
        <f>IF(COUNTA(F6:F30)=0,"",COUNTA(F6:F30))</f>
        <v>0</v>
      </c>
      <c r="G31" s="37">
        <f>IF(COUNTA(G6:G30)=0,"",COUNTA(G6:G30))</f>
        <v>0</v>
      </c>
      <c r="H31" s="37">
        <f>IF(COUNTA(H6:H30)=0,"",COUNTA(H6:H30))</f>
        <v>0</v>
      </c>
      <c r="I31" s="37">
        <f>IF(COUNTA(I6:I30)=0,"",COUNTA(I6:I30))</f>
        <v>0</v>
      </c>
      <c r="J31" s="37">
        <f>IF(COUNTA(J6:J30)=0,"",COUNTA(J6:J30))</f>
        <v>0</v>
      </c>
      <c r="K31" s="37">
        <f>IF(COUNTA(K6:K30)=0,"",COUNTA(K6:K30))</f>
        <v>0</v>
      </c>
      <c r="L31" s="37">
        <f>IF(COUNTA(L6:L30)=0,"",COUNTA(L6:L30))</f>
        <v>0</v>
      </c>
      <c r="M31" s="37">
        <f>IF(COUNTA(M6:M30)=0,"",COUNTA(M6:M30))</f>
        <v>0</v>
      </c>
      <c r="N31" s="37">
        <f>IF(COUNTA(N6:N30)=0,"",COUNTA(N6:N30))</f>
        <v>0</v>
      </c>
      <c r="O31" s="37">
        <f>IF(COUNTA(O6:O30)=0,"",COUNTA(O6:O30))</f>
        <v>0</v>
      </c>
      <c r="P31" s="37">
        <f>IF(COUNTA(P6:P30)=0,"",COUNTA(P6:P30))</f>
        <v>0</v>
      </c>
      <c r="Q31" s="37">
        <f>IF(COUNTA(Q6:Q30)=0,"",COUNTA(Q6:Q30))</f>
        <v>0</v>
      </c>
      <c r="R31" s="37">
        <f>IF(COUNTA(R6:R30)=0,"",COUNTA(R6:R30))</f>
        <v>0</v>
      </c>
      <c r="S31" s="37">
        <f>IF(COUNTA(S6:S30)=0,"",COUNTA(S6:S30))</f>
        <v>0</v>
      </c>
      <c r="T31" s="37">
        <f>IF(COUNTA(T6:T30)=0,"",COUNTA(T6:T30))</f>
        <v>0</v>
      </c>
      <c r="U31" s="37">
        <f>IF(COUNTA(U6:U30)=0,"",COUNTA(U6:U30))</f>
        <v>0</v>
      </c>
      <c r="V31" s="37">
        <f>IF(COUNTA(V6:V30)=0,"",COUNTA(V6:V30))</f>
        <v>0</v>
      </c>
      <c r="W31" s="37">
        <f>IF(COUNTA(W6:W30)=0,"",COUNTA(W6:W30))</f>
        <v>0</v>
      </c>
      <c r="X31" s="37">
        <f>IF(COUNTA(X6:X30)=0,"",COUNTA(X6:X30))</f>
        <v>0</v>
      </c>
      <c r="Y31" s="37">
        <f>IF(COUNTA(Y6:Y30)=0,"",COUNTA(Y6:Y30))</f>
        <v>0</v>
      </c>
      <c r="Z31" s="37">
        <f>IF(COUNTA(Z6:Z30)=0,"",COUNTA(Z6:Z30))</f>
        <v>0</v>
      </c>
      <c r="AA31" s="37">
        <f>IF(COUNTA(AA6:AA30)=0,"",COUNTA(AA6:AA30))</f>
        <v>0</v>
      </c>
      <c r="AB31" s="37">
        <f>IF(COUNTA(AB6:AB30)=0,"",COUNTA(AB6:AB30))</f>
        <v>0</v>
      </c>
      <c r="AC31" s="37">
        <f>IF(COUNTA(AC6:AC30)=0,"",COUNTA(AC6:AC30))</f>
        <v>0</v>
      </c>
      <c r="AD31" s="37">
        <f>IF(COUNTA(AD6:AD30)=0,"",COUNTA(AD6:AD30))</f>
        <v>0</v>
      </c>
      <c r="AE31" s="37">
        <f>IF(COUNTA(AE6:AE30)=0,"",COUNTA(AE6:AE30))</f>
        <v>0</v>
      </c>
      <c r="AF31" s="37">
        <f>IF(COUNTA(AF6:AF30)=0,"",COUNTA(AF6:AF30))</f>
        <v>0</v>
      </c>
      <c r="AG31" s="37">
        <f>IF(COUNTA(AG6:AG30)=0,"",COUNTA(AG6:AG30))</f>
        <v>0</v>
      </c>
    </row>
    <row r="33" spans="2:39">
      <c r="B33" s="38" t="s">
        <v>95</v>
      </c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8"/>
      <c r="AG33" s="38"/>
      <c r="AH33" s="38"/>
      <c r="AI33" s="38"/>
      <c r="AJ33" s="38"/>
      <c r="AK33" s="38"/>
      <c r="AL33" s="38"/>
      <c r="AM33" s="38"/>
    </row>
  </sheetData>
  <mergeCells count="9">
    <mergeCell ref="B2:I2"/>
    <mergeCell ref="J2:N2"/>
    <mergeCell ref="P2:AM2"/>
    <mergeCell ref="AI4:AI5"/>
    <mergeCell ref="AJ4:AJ5"/>
    <mergeCell ref="AK4:AK5"/>
    <mergeCell ref="AL4:AL5"/>
    <mergeCell ref="AM4:AM5"/>
    <mergeCell ref="B33:AM33"/>
  </mergeCells>
  <conditionalFormatting sqref="C4:AG5">
    <cfRule type="expression" dxfId="7" priority="8">
      <formula>AND(MONTH(DATE(CalYear,11,COLUMN()-2))=11,COUNTIFS(INDIRECT("Holidays!$C$6:$C$60"),DATE(CalYear,11,COLUMN()-2),INDIRECT("Holidays!$D$6:$D$60"),"Holiday")&gt;0)</formula>
    </cfRule>
  </conditionalFormatting>
  <conditionalFormatting sqref="C6:AG30">
    <cfRule type="expression" dxfId="0" priority="1" stopIfTrue="1">
      <formula>MONTH(DATE(CalYear,11,COLUMN()-2))&lt;&gt;11</formula>
    </cfRule>
    <cfRule type="expression" dxfId="1" priority="2" stopIfTrue="1">
      <formula>AND(C6&lt;&gt;"",COUNTIFS(INDIRECT("Setup!$B$9:$B$22"),C6,INDIRECT("Setup!$E$9:$E$22"),"Vacation")&gt;0)</formula>
    </cfRule>
    <cfRule type="expression" dxfId="2" priority="3" stopIfTrue="1">
      <formula>AND(C6&lt;&gt;"",COUNTIFS(INDIRECT("Setup!$B$9:$B$22"),C6,INDIRECT("Setup!$E$9:$E$22"),"Sick")&gt;0)</formula>
    </cfRule>
    <cfRule type="expression" dxfId="3" priority="4" stopIfTrue="1">
      <formula>AND(C6&lt;&gt;"",COUNTIFS(INDIRECT("Setup!$B$9:$B$22"),C6,INDIRECT("Setup!$E$9:$E$22"),"Personal")&gt;0)</formula>
    </cfRule>
    <cfRule type="expression" dxfId="4" priority="5" stopIfTrue="1">
      <formula>AND(C6&lt;&gt;"",COUNTIFS(INDIRECT("Setup!$B$9:$B$22"),C6,INDIRECT("Setup!$E$9:$E$22"),"Other")&gt;0)</formula>
    </cfRule>
    <cfRule type="expression" dxfId="5" priority="6" stopIfTrue="1">
      <formula>COUNTIFS(INDIRECT("Holidays!$C$6:$C$60"),DATE(CalYear,11,COLUMN()-2),INDIRECT("Holidays!$D$6:$D$60"),"Holiday")&gt;0</formula>
    </cfRule>
    <cfRule type="expression" dxfId="6" priority="7" stopIfTrue="1">
      <formula>OR(WEEKDAY(DATE(CalYear,11,COLUMN()-2))=1,WEEKDAY(DATE(CalYear,11,COLUMN()-2))=7)</formula>
    </cfRule>
  </conditionalFormatting>
  <dataValidations count="1">
    <dataValidation type="list" errorStyle="warning" allowBlank="1" showInputMessage="1" showErrorMessage="1" error="Not a code from the Setup tab (it won't be counted)." sqref="C6:AG30">
      <formula1>Codes</formula1>
    </dataValidation>
  </dataValidations>
  <printOptions horizontalCentered="1"/>
  <pageMargins left="0.3" right="0.3" top="0.3" bottom="0.3" header="0.3" footer="0.3"/>
  <pageSetup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2:AM33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/>
    </sheetView>
  </sheetViews>
  <sheetFormatPr defaultRowHeight="15"/>
  <cols>
    <col min="1" max="1" width="1.7109375" customWidth="1"/>
    <col min="2" max="2" width="18.7109375" customWidth="1"/>
    <col min="3" max="33" width="3.85546875" customWidth="1"/>
    <col min="34" max="34" width="1.7109375" customWidth="1"/>
    <col min="35" max="38" width="5.7109375" customWidth="1"/>
    <col min="39" max="39" width="6.28515625" customWidth="1"/>
  </cols>
  <sheetData>
    <row r="2" spans="2:39" ht="34" customHeight="1">
      <c r="B2" s="1" t="s">
        <v>106</v>
      </c>
      <c r="C2" s="1"/>
      <c r="D2" s="1"/>
      <c r="E2" s="1"/>
      <c r="F2" s="1"/>
      <c r="G2" s="1"/>
      <c r="H2" s="1"/>
      <c r="I2" s="1"/>
      <c r="J2" s="18">
        <f>CalYear</f>
        <v>0</v>
      </c>
      <c r="K2" s="18"/>
      <c r="L2" s="18"/>
      <c r="M2" s="18"/>
      <c r="N2" s="18"/>
      <c r="P2" s="19">
        <f>"Codes: "&amp;Setup!B9&amp;" "&amp;Setup!C9&amp;" · "&amp;Setup!B10&amp;" "&amp;Setup!C10&amp;" · "&amp;Setup!B11&amp;" "&amp;Setup!C11&amp;" · "&amp;Setup!B13&amp;" "&amp;Setup!C13&amp;" · "&amp;Setup!B15&amp;" "&amp;Setup!C15&amp;"   (full list on Setup)"</f>
        <v>0</v>
      </c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</row>
    <row r="4" spans="2:39" ht="14" customHeight="1">
      <c r="B4" s="20"/>
      <c r="C4" s="21">
        <f>IF(MONTH(DATE(CalYear,12,1))=12,CHOOSE(WEEKDAY(DATE(CalYear,12,1)),"S","M","T","W","T","F","S"),"")</f>
        <v>0</v>
      </c>
      <c r="D4" s="21">
        <f>IF(MONTH(DATE(CalYear,12,2))=12,CHOOSE(WEEKDAY(DATE(CalYear,12,2)),"S","M","T","W","T","F","S"),"")</f>
        <v>0</v>
      </c>
      <c r="E4" s="21">
        <f>IF(MONTH(DATE(CalYear,12,3))=12,CHOOSE(WEEKDAY(DATE(CalYear,12,3)),"S","M","T","W","T","F","S"),"")</f>
        <v>0</v>
      </c>
      <c r="F4" s="21">
        <f>IF(MONTH(DATE(CalYear,12,4))=12,CHOOSE(WEEKDAY(DATE(CalYear,12,4)),"S","M","T","W","T","F","S"),"")</f>
        <v>0</v>
      </c>
      <c r="G4" s="21">
        <f>IF(MONTH(DATE(CalYear,12,5))=12,CHOOSE(WEEKDAY(DATE(CalYear,12,5)),"S","M","T","W","T","F","S"),"")</f>
        <v>0</v>
      </c>
      <c r="H4" s="21">
        <f>IF(MONTH(DATE(CalYear,12,6))=12,CHOOSE(WEEKDAY(DATE(CalYear,12,6)),"S","M","T","W","T","F","S"),"")</f>
        <v>0</v>
      </c>
      <c r="I4" s="21">
        <f>IF(MONTH(DATE(CalYear,12,7))=12,CHOOSE(WEEKDAY(DATE(CalYear,12,7)),"S","M","T","W","T","F","S"),"")</f>
        <v>0</v>
      </c>
      <c r="J4" s="21">
        <f>IF(MONTH(DATE(CalYear,12,8))=12,CHOOSE(WEEKDAY(DATE(CalYear,12,8)),"S","M","T","W","T","F","S"),"")</f>
        <v>0</v>
      </c>
      <c r="K4" s="21">
        <f>IF(MONTH(DATE(CalYear,12,9))=12,CHOOSE(WEEKDAY(DATE(CalYear,12,9)),"S","M","T","W","T","F","S"),"")</f>
        <v>0</v>
      </c>
      <c r="L4" s="21">
        <f>IF(MONTH(DATE(CalYear,12,10))=12,CHOOSE(WEEKDAY(DATE(CalYear,12,10)),"S","M","T","W","T","F","S"),"")</f>
        <v>0</v>
      </c>
      <c r="M4" s="21">
        <f>IF(MONTH(DATE(CalYear,12,11))=12,CHOOSE(WEEKDAY(DATE(CalYear,12,11)),"S","M","T","W","T","F","S"),"")</f>
        <v>0</v>
      </c>
      <c r="N4" s="21">
        <f>IF(MONTH(DATE(CalYear,12,12))=12,CHOOSE(WEEKDAY(DATE(CalYear,12,12)),"S","M","T","W","T","F","S"),"")</f>
        <v>0</v>
      </c>
      <c r="O4" s="21">
        <f>IF(MONTH(DATE(CalYear,12,13))=12,CHOOSE(WEEKDAY(DATE(CalYear,12,13)),"S","M","T","W","T","F","S"),"")</f>
        <v>0</v>
      </c>
      <c r="P4" s="21">
        <f>IF(MONTH(DATE(CalYear,12,14))=12,CHOOSE(WEEKDAY(DATE(CalYear,12,14)),"S","M","T","W","T","F","S"),"")</f>
        <v>0</v>
      </c>
      <c r="Q4" s="21">
        <f>IF(MONTH(DATE(CalYear,12,15))=12,CHOOSE(WEEKDAY(DATE(CalYear,12,15)),"S","M","T","W","T","F","S"),"")</f>
        <v>0</v>
      </c>
      <c r="R4" s="21">
        <f>IF(MONTH(DATE(CalYear,12,16))=12,CHOOSE(WEEKDAY(DATE(CalYear,12,16)),"S","M","T","W","T","F","S"),"")</f>
        <v>0</v>
      </c>
      <c r="S4" s="21">
        <f>IF(MONTH(DATE(CalYear,12,17))=12,CHOOSE(WEEKDAY(DATE(CalYear,12,17)),"S","M","T","W","T","F","S"),"")</f>
        <v>0</v>
      </c>
      <c r="T4" s="21">
        <f>IF(MONTH(DATE(CalYear,12,18))=12,CHOOSE(WEEKDAY(DATE(CalYear,12,18)),"S","M","T","W","T","F","S"),"")</f>
        <v>0</v>
      </c>
      <c r="U4" s="21">
        <f>IF(MONTH(DATE(CalYear,12,19))=12,CHOOSE(WEEKDAY(DATE(CalYear,12,19)),"S","M","T","W","T","F","S"),"")</f>
        <v>0</v>
      </c>
      <c r="V4" s="21">
        <f>IF(MONTH(DATE(CalYear,12,20))=12,CHOOSE(WEEKDAY(DATE(CalYear,12,20)),"S","M","T","W","T","F","S"),"")</f>
        <v>0</v>
      </c>
      <c r="W4" s="21">
        <f>IF(MONTH(DATE(CalYear,12,21))=12,CHOOSE(WEEKDAY(DATE(CalYear,12,21)),"S","M","T","W","T","F","S"),"")</f>
        <v>0</v>
      </c>
      <c r="X4" s="21">
        <f>IF(MONTH(DATE(CalYear,12,22))=12,CHOOSE(WEEKDAY(DATE(CalYear,12,22)),"S","M","T","W","T","F","S"),"")</f>
        <v>0</v>
      </c>
      <c r="Y4" s="21">
        <f>IF(MONTH(DATE(CalYear,12,23))=12,CHOOSE(WEEKDAY(DATE(CalYear,12,23)),"S","M","T","W","T","F","S"),"")</f>
        <v>0</v>
      </c>
      <c r="Z4" s="21">
        <f>IF(MONTH(DATE(CalYear,12,24))=12,CHOOSE(WEEKDAY(DATE(CalYear,12,24)),"S","M","T","W","T","F","S"),"")</f>
        <v>0</v>
      </c>
      <c r="AA4" s="21">
        <f>IF(MONTH(DATE(CalYear,12,25))=12,CHOOSE(WEEKDAY(DATE(CalYear,12,25)),"S","M","T","W","T","F","S"),"")</f>
        <v>0</v>
      </c>
      <c r="AB4" s="21">
        <f>IF(MONTH(DATE(CalYear,12,26))=12,CHOOSE(WEEKDAY(DATE(CalYear,12,26)),"S","M","T","W","T","F","S"),"")</f>
        <v>0</v>
      </c>
      <c r="AC4" s="21">
        <f>IF(MONTH(DATE(CalYear,12,27))=12,CHOOSE(WEEKDAY(DATE(CalYear,12,27)),"S","M","T","W","T","F","S"),"")</f>
        <v>0</v>
      </c>
      <c r="AD4" s="21">
        <f>IF(MONTH(DATE(CalYear,12,28))=12,CHOOSE(WEEKDAY(DATE(CalYear,12,28)),"S","M","T","W","T","F","S"),"")</f>
        <v>0</v>
      </c>
      <c r="AE4" s="21">
        <f>IF(MONTH(DATE(CalYear,12,29))=12,CHOOSE(WEEKDAY(DATE(CalYear,12,29)),"S","M","T","W","T","F","S"),"")</f>
        <v>0</v>
      </c>
      <c r="AF4" s="21">
        <f>IF(MONTH(DATE(CalYear,12,30))=12,CHOOSE(WEEKDAY(DATE(CalYear,12,30)),"S","M","T","W","T","F","S"),"")</f>
        <v>0</v>
      </c>
      <c r="AG4" s="21">
        <f>IF(MONTH(DATE(CalYear,12,31))=12,CHOOSE(WEEKDAY(DATE(CalYear,12,31)),"S","M","T","W","T","F","S"),"")</f>
        <v>0</v>
      </c>
      <c r="AI4" s="22" t="s">
        <v>89</v>
      </c>
      <c r="AJ4" s="23" t="s">
        <v>90</v>
      </c>
      <c r="AK4" s="24" t="s">
        <v>91</v>
      </c>
      <c r="AL4" s="25" t="s">
        <v>92</v>
      </c>
      <c r="AM4" s="26" t="s">
        <v>93</v>
      </c>
    </row>
    <row r="5" spans="2:39" ht="18" customHeight="1">
      <c r="B5" s="27" t="s">
        <v>68</v>
      </c>
      <c r="C5" s="28">
        <f>IF(MONTH(DATE(CalYear,12,1))=12,1,"")</f>
        <v>0</v>
      </c>
      <c r="D5" s="28">
        <f>IF(MONTH(DATE(CalYear,12,2))=12,2,"")</f>
        <v>0</v>
      </c>
      <c r="E5" s="28">
        <f>IF(MONTH(DATE(CalYear,12,3))=12,3,"")</f>
        <v>0</v>
      </c>
      <c r="F5" s="28">
        <f>IF(MONTH(DATE(CalYear,12,4))=12,4,"")</f>
        <v>0</v>
      </c>
      <c r="G5" s="28">
        <f>IF(MONTH(DATE(CalYear,12,5))=12,5,"")</f>
        <v>0</v>
      </c>
      <c r="H5" s="28">
        <f>IF(MONTH(DATE(CalYear,12,6))=12,6,"")</f>
        <v>0</v>
      </c>
      <c r="I5" s="28">
        <f>IF(MONTH(DATE(CalYear,12,7))=12,7,"")</f>
        <v>0</v>
      </c>
      <c r="J5" s="28">
        <f>IF(MONTH(DATE(CalYear,12,8))=12,8,"")</f>
        <v>0</v>
      </c>
      <c r="K5" s="28">
        <f>IF(MONTH(DATE(CalYear,12,9))=12,9,"")</f>
        <v>0</v>
      </c>
      <c r="L5" s="28">
        <f>IF(MONTH(DATE(CalYear,12,10))=12,10,"")</f>
        <v>0</v>
      </c>
      <c r="M5" s="28">
        <f>IF(MONTH(DATE(CalYear,12,11))=12,11,"")</f>
        <v>0</v>
      </c>
      <c r="N5" s="28">
        <f>IF(MONTH(DATE(CalYear,12,12))=12,12,"")</f>
        <v>0</v>
      </c>
      <c r="O5" s="28">
        <f>IF(MONTH(DATE(CalYear,12,13))=12,13,"")</f>
        <v>0</v>
      </c>
      <c r="P5" s="28">
        <f>IF(MONTH(DATE(CalYear,12,14))=12,14,"")</f>
        <v>0</v>
      </c>
      <c r="Q5" s="28">
        <f>IF(MONTH(DATE(CalYear,12,15))=12,15,"")</f>
        <v>0</v>
      </c>
      <c r="R5" s="28">
        <f>IF(MONTH(DATE(CalYear,12,16))=12,16,"")</f>
        <v>0</v>
      </c>
      <c r="S5" s="28">
        <f>IF(MONTH(DATE(CalYear,12,17))=12,17,"")</f>
        <v>0</v>
      </c>
      <c r="T5" s="28">
        <f>IF(MONTH(DATE(CalYear,12,18))=12,18,"")</f>
        <v>0</v>
      </c>
      <c r="U5" s="28">
        <f>IF(MONTH(DATE(CalYear,12,19))=12,19,"")</f>
        <v>0</v>
      </c>
      <c r="V5" s="28">
        <f>IF(MONTH(DATE(CalYear,12,20))=12,20,"")</f>
        <v>0</v>
      </c>
      <c r="W5" s="28">
        <f>IF(MONTH(DATE(CalYear,12,21))=12,21,"")</f>
        <v>0</v>
      </c>
      <c r="X5" s="28">
        <f>IF(MONTH(DATE(CalYear,12,22))=12,22,"")</f>
        <v>0</v>
      </c>
      <c r="Y5" s="28">
        <f>IF(MONTH(DATE(CalYear,12,23))=12,23,"")</f>
        <v>0</v>
      </c>
      <c r="Z5" s="28">
        <f>IF(MONTH(DATE(CalYear,12,24))=12,24,"")</f>
        <v>0</v>
      </c>
      <c r="AA5" s="28">
        <f>IF(MONTH(DATE(CalYear,12,25))=12,25,"")</f>
        <v>0</v>
      </c>
      <c r="AB5" s="28">
        <f>IF(MONTH(DATE(CalYear,12,26))=12,26,"")</f>
        <v>0</v>
      </c>
      <c r="AC5" s="28">
        <f>IF(MONTH(DATE(CalYear,12,27))=12,27,"")</f>
        <v>0</v>
      </c>
      <c r="AD5" s="28">
        <f>IF(MONTH(DATE(CalYear,12,28))=12,28,"")</f>
        <v>0</v>
      </c>
      <c r="AE5" s="28">
        <f>IF(MONTH(DATE(CalYear,12,29))=12,29,"")</f>
        <v>0</v>
      </c>
      <c r="AF5" s="28">
        <f>IF(MONTH(DATE(CalYear,12,30))=12,30,"")</f>
        <v>0</v>
      </c>
      <c r="AG5" s="28">
        <f>IF(MONTH(DATE(CalYear,12,31))=12,31,"")</f>
        <v>0</v>
      </c>
      <c r="AI5" s="22"/>
      <c r="AJ5" s="23"/>
      <c r="AK5" s="24"/>
      <c r="AL5" s="25"/>
      <c r="AM5" s="26"/>
    </row>
    <row r="6" spans="2:39" ht="17" customHeight="1">
      <c r="B6" s="29">
        <f>IF(Summary!B6="","",Summary!B6)</f>
        <v>0</v>
      </c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  <c r="AE6" s="30"/>
      <c r="AF6" s="30"/>
      <c r="AG6" s="30"/>
      <c r="AI6" s="31">
        <f>SUMPRODUCT(COUNTIF(C6:AG6,Codes)*(Codes&lt;&gt;"")*(CodeBucket="Vacation")*CodeDays)</f>
        <v>0</v>
      </c>
      <c r="AJ6" s="32">
        <f>SUMPRODUCT(COUNTIF(C6:AG6,Codes)*(Codes&lt;&gt;"")*(CodeBucket="Sick")*CodeDays)</f>
        <v>0</v>
      </c>
      <c r="AK6" s="33">
        <f>SUMPRODUCT(COUNTIF(C6:AG6,Codes)*(Codes&lt;&gt;"")*(CodeBucket="Personal")*CodeDays)</f>
        <v>0</v>
      </c>
      <c r="AL6" s="34">
        <f>SUMPRODUCT(COUNTIF(C6:AG6,Codes)*(Codes&lt;&gt;"")*(CodeBucket="Other")*CodeDays)</f>
        <v>0</v>
      </c>
      <c r="AM6" s="35">
        <f>SUM(AI6:AL6)</f>
        <v>0</v>
      </c>
    </row>
    <row r="7" spans="2:39" ht="17" customHeight="1">
      <c r="B7" s="29">
        <f>IF(Summary!B7="","",Summary!B7)</f>
        <v>0</v>
      </c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  <c r="AB7" s="30"/>
      <c r="AC7" s="30"/>
      <c r="AD7" s="30"/>
      <c r="AE7" s="30"/>
      <c r="AF7" s="30"/>
      <c r="AG7" s="30"/>
      <c r="AI7" s="31">
        <f>SUMPRODUCT(COUNTIF(C7:AG7,Codes)*(Codes&lt;&gt;"")*(CodeBucket="Vacation")*CodeDays)</f>
        <v>0</v>
      </c>
      <c r="AJ7" s="32">
        <f>SUMPRODUCT(COUNTIF(C7:AG7,Codes)*(Codes&lt;&gt;"")*(CodeBucket="Sick")*CodeDays)</f>
        <v>0</v>
      </c>
      <c r="AK7" s="33">
        <f>SUMPRODUCT(COUNTIF(C7:AG7,Codes)*(Codes&lt;&gt;"")*(CodeBucket="Personal")*CodeDays)</f>
        <v>0</v>
      </c>
      <c r="AL7" s="34">
        <f>SUMPRODUCT(COUNTIF(C7:AG7,Codes)*(Codes&lt;&gt;"")*(CodeBucket="Other")*CodeDays)</f>
        <v>0</v>
      </c>
      <c r="AM7" s="35">
        <f>SUM(AI7:AL7)</f>
        <v>0</v>
      </c>
    </row>
    <row r="8" spans="2:39" ht="17" customHeight="1">
      <c r="B8" s="29">
        <f>IF(Summary!B8="","",Summary!B8)</f>
        <v>0</v>
      </c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30"/>
      <c r="AA8" s="30"/>
      <c r="AB8" s="30"/>
      <c r="AC8" s="30"/>
      <c r="AD8" s="30"/>
      <c r="AE8" s="30"/>
      <c r="AF8" s="30"/>
      <c r="AG8" s="30"/>
      <c r="AI8" s="31">
        <f>SUMPRODUCT(COUNTIF(C8:AG8,Codes)*(Codes&lt;&gt;"")*(CodeBucket="Vacation")*CodeDays)</f>
        <v>0</v>
      </c>
      <c r="AJ8" s="32">
        <f>SUMPRODUCT(COUNTIF(C8:AG8,Codes)*(Codes&lt;&gt;"")*(CodeBucket="Sick")*CodeDays)</f>
        <v>0</v>
      </c>
      <c r="AK8" s="33">
        <f>SUMPRODUCT(COUNTIF(C8:AG8,Codes)*(Codes&lt;&gt;"")*(CodeBucket="Personal")*CodeDays)</f>
        <v>0</v>
      </c>
      <c r="AL8" s="34">
        <f>SUMPRODUCT(COUNTIF(C8:AG8,Codes)*(Codes&lt;&gt;"")*(CodeBucket="Other")*CodeDays)</f>
        <v>0</v>
      </c>
      <c r="AM8" s="35">
        <f>SUM(AI8:AL8)</f>
        <v>0</v>
      </c>
    </row>
    <row r="9" spans="2:39" ht="17" customHeight="1">
      <c r="B9" s="29">
        <f>IF(Summary!B9="","",Summary!B9)</f>
        <v>0</v>
      </c>
      <c r="C9" s="30"/>
      <c r="D9" s="30"/>
      <c r="E9" s="30"/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  <c r="AB9" s="30"/>
      <c r="AC9" s="30"/>
      <c r="AD9" s="30"/>
      <c r="AE9" s="30"/>
      <c r="AF9" s="30"/>
      <c r="AG9" s="30"/>
      <c r="AI9" s="31">
        <f>SUMPRODUCT(COUNTIF(C9:AG9,Codes)*(Codes&lt;&gt;"")*(CodeBucket="Vacation")*CodeDays)</f>
        <v>0</v>
      </c>
      <c r="AJ9" s="32">
        <f>SUMPRODUCT(COUNTIF(C9:AG9,Codes)*(Codes&lt;&gt;"")*(CodeBucket="Sick")*CodeDays)</f>
        <v>0</v>
      </c>
      <c r="AK9" s="33">
        <f>SUMPRODUCT(COUNTIF(C9:AG9,Codes)*(Codes&lt;&gt;"")*(CodeBucket="Personal")*CodeDays)</f>
        <v>0</v>
      </c>
      <c r="AL9" s="34">
        <f>SUMPRODUCT(COUNTIF(C9:AG9,Codes)*(Codes&lt;&gt;"")*(CodeBucket="Other")*CodeDays)</f>
        <v>0</v>
      </c>
      <c r="AM9" s="35">
        <f>SUM(AI9:AL9)</f>
        <v>0</v>
      </c>
    </row>
    <row r="10" spans="2:39" ht="17" customHeight="1">
      <c r="B10" s="29">
        <f>IF(Summary!B10="","",Summary!B10)</f>
        <v>0</v>
      </c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  <c r="AA10" s="30"/>
      <c r="AB10" s="30"/>
      <c r="AC10" s="30"/>
      <c r="AD10" s="30"/>
      <c r="AE10" s="30"/>
      <c r="AF10" s="30"/>
      <c r="AG10" s="30"/>
      <c r="AI10" s="31">
        <f>SUMPRODUCT(COUNTIF(C10:AG10,Codes)*(Codes&lt;&gt;"")*(CodeBucket="Vacation")*CodeDays)</f>
        <v>0</v>
      </c>
      <c r="AJ10" s="32">
        <f>SUMPRODUCT(COUNTIF(C10:AG10,Codes)*(Codes&lt;&gt;"")*(CodeBucket="Sick")*CodeDays)</f>
        <v>0</v>
      </c>
      <c r="AK10" s="33">
        <f>SUMPRODUCT(COUNTIF(C10:AG10,Codes)*(Codes&lt;&gt;"")*(CodeBucket="Personal")*CodeDays)</f>
        <v>0</v>
      </c>
      <c r="AL10" s="34">
        <f>SUMPRODUCT(COUNTIF(C10:AG10,Codes)*(Codes&lt;&gt;"")*(CodeBucket="Other")*CodeDays)</f>
        <v>0</v>
      </c>
      <c r="AM10" s="35">
        <f>SUM(AI10:AL10)</f>
        <v>0</v>
      </c>
    </row>
    <row r="11" spans="2:39" ht="17" customHeight="1">
      <c r="B11" s="29">
        <f>IF(Summary!B11="","",Summary!B11)</f>
        <v>0</v>
      </c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  <c r="AA11" s="30"/>
      <c r="AB11" s="30"/>
      <c r="AC11" s="30"/>
      <c r="AD11" s="30"/>
      <c r="AE11" s="30"/>
      <c r="AF11" s="30"/>
      <c r="AG11" s="30"/>
      <c r="AI11" s="31">
        <f>SUMPRODUCT(COUNTIF(C11:AG11,Codes)*(Codes&lt;&gt;"")*(CodeBucket="Vacation")*CodeDays)</f>
        <v>0</v>
      </c>
      <c r="AJ11" s="32">
        <f>SUMPRODUCT(COUNTIF(C11:AG11,Codes)*(Codes&lt;&gt;"")*(CodeBucket="Sick")*CodeDays)</f>
        <v>0</v>
      </c>
      <c r="AK11" s="33">
        <f>SUMPRODUCT(COUNTIF(C11:AG11,Codes)*(Codes&lt;&gt;"")*(CodeBucket="Personal")*CodeDays)</f>
        <v>0</v>
      </c>
      <c r="AL11" s="34">
        <f>SUMPRODUCT(COUNTIF(C11:AG11,Codes)*(Codes&lt;&gt;"")*(CodeBucket="Other")*CodeDays)</f>
        <v>0</v>
      </c>
      <c r="AM11" s="35">
        <f>SUM(AI11:AL11)</f>
        <v>0</v>
      </c>
    </row>
    <row r="12" spans="2:39" ht="17" customHeight="1">
      <c r="B12" s="29">
        <f>IF(Summary!B12="","",Summary!B12)</f>
        <v>0</v>
      </c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0"/>
      <c r="S12" s="30"/>
      <c r="T12" s="30"/>
      <c r="U12" s="30"/>
      <c r="V12" s="30"/>
      <c r="W12" s="30"/>
      <c r="X12" s="30"/>
      <c r="Y12" s="30"/>
      <c r="Z12" s="30"/>
      <c r="AA12" s="30"/>
      <c r="AB12" s="30"/>
      <c r="AC12" s="30"/>
      <c r="AD12" s="30"/>
      <c r="AE12" s="30"/>
      <c r="AF12" s="30"/>
      <c r="AG12" s="30"/>
      <c r="AI12" s="31">
        <f>SUMPRODUCT(COUNTIF(C12:AG12,Codes)*(Codes&lt;&gt;"")*(CodeBucket="Vacation")*CodeDays)</f>
        <v>0</v>
      </c>
      <c r="AJ12" s="32">
        <f>SUMPRODUCT(COUNTIF(C12:AG12,Codes)*(Codes&lt;&gt;"")*(CodeBucket="Sick")*CodeDays)</f>
        <v>0</v>
      </c>
      <c r="AK12" s="33">
        <f>SUMPRODUCT(COUNTIF(C12:AG12,Codes)*(Codes&lt;&gt;"")*(CodeBucket="Personal")*CodeDays)</f>
        <v>0</v>
      </c>
      <c r="AL12" s="34">
        <f>SUMPRODUCT(COUNTIF(C12:AG12,Codes)*(Codes&lt;&gt;"")*(CodeBucket="Other")*CodeDays)</f>
        <v>0</v>
      </c>
      <c r="AM12" s="35">
        <f>SUM(AI12:AL12)</f>
        <v>0</v>
      </c>
    </row>
    <row r="13" spans="2:39" ht="17" customHeight="1">
      <c r="B13" s="29">
        <f>IF(Summary!B13="","",Summary!B13)</f>
        <v>0</v>
      </c>
      <c r="C13" s="30"/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30"/>
      <c r="T13" s="30"/>
      <c r="U13" s="30"/>
      <c r="V13" s="30"/>
      <c r="W13" s="30"/>
      <c r="X13" s="30"/>
      <c r="Y13" s="30"/>
      <c r="Z13" s="30"/>
      <c r="AA13" s="30"/>
      <c r="AB13" s="30"/>
      <c r="AC13" s="30"/>
      <c r="AD13" s="30"/>
      <c r="AE13" s="30"/>
      <c r="AF13" s="30"/>
      <c r="AG13" s="30"/>
      <c r="AI13" s="31">
        <f>SUMPRODUCT(COUNTIF(C13:AG13,Codes)*(Codes&lt;&gt;"")*(CodeBucket="Vacation")*CodeDays)</f>
        <v>0</v>
      </c>
      <c r="AJ13" s="32">
        <f>SUMPRODUCT(COUNTIF(C13:AG13,Codes)*(Codes&lt;&gt;"")*(CodeBucket="Sick")*CodeDays)</f>
        <v>0</v>
      </c>
      <c r="AK13" s="33">
        <f>SUMPRODUCT(COUNTIF(C13:AG13,Codes)*(Codes&lt;&gt;"")*(CodeBucket="Personal")*CodeDays)</f>
        <v>0</v>
      </c>
      <c r="AL13" s="34">
        <f>SUMPRODUCT(COUNTIF(C13:AG13,Codes)*(Codes&lt;&gt;"")*(CodeBucket="Other")*CodeDays)</f>
        <v>0</v>
      </c>
      <c r="AM13" s="35">
        <f>SUM(AI13:AL13)</f>
        <v>0</v>
      </c>
    </row>
    <row r="14" spans="2:39" ht="17" customHeight="1">
      <c r="B14" s="29">
        <f>IF(Summary!B14="","",Summary!B14)</f>
        <v>0</v>
      </c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30"/>
      <c r="U14" s="30"/>
      <c r="V14" s="30"/>
      <c r="W14" s="30"/>
      <c r="X14" s="30"/>
      <c r="Y14" s="30"/>
      <c r="Z14" s="30"/>
      <c r="AA14" s="30"/>
      <c r="AB14" s="30"/>
      <c r="AC14" s="30"/>
      <c r="AD14" s="30"/>
      <c r="AE14" s="30"/>
      <c r="AF14" s="30"/>
      <c r="AG14" s="30"/>
      <c r="AI14" s="31">
        <f>SUMPRODUCT(COUNTIF(C14:AG14,Codes)*(Codes&lt;&gt;"")*(CodeBucket="Vacation")*CodeDays)</f>
        <v>0</v>
      </c>
      <c r="AJ14" s="32">
        <f>SUMPRODUCT(COUNTIF(C14:AG14,Codes)*(Codes&lt;&gt;"")*(CodeBucket="Sick")*CodeDays)</f>
        <v>0</v>
      </c>
      <c r="AK14" s="33">
        <f>SUMPRODUCT(COUNTIF(C14:AG14,Codes)*(Codes&lt;&gt;"")*(CodeBucket="Personal")*CodeDays)</f>
        <v>0</v>
      </c>
      <c r="AL14" s="34">
        <f>SUMPRODUCT(COUNTIF(C14:AG14,Codes)*(Codes&lt;&gt;"")*(CodeBucket="Other")*CodeDays)</f>
        <v>0</v>
      </c>
      <c r="AM14" s="35">
        <f>SUM(AI14:AL14)</f>
        <v>0</v>
      </c>
    </row>
    <row r="15" spans="2:39" ht="17" customHeight="1">
      <c r="B15" s="29">
        <f>IF(Summary!B15="","",Summary!B15)</f>
        <v>0</v>
      </c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0"/>
      <c r="AA15" s="30"/>
      <c r="AB15" s="30"/>
      <c r="AC15" s="30"/>
      <c r="AD15" s="30"/>
      <c r="AE15" s="30"/>
      <c r="AF15" s="30"/>
      <c r="AG15" s="30"/>
      <c r="AI15" s="31">
        <f>SUMPRODUCT(COUNTIF(C15:AG15,Codes)*(Codes&lt;&gt;"")*(CodeBucket="Vacation")*CodeDays)</f>
        <v>0</v>
      </c>
      <c r="AJ15" s="32">
        <f>SUMPRODUCT(COUNTIF(C15:AG15,Codes)*(Codes&lt;&gt;"")*(CodeBucket="Sick")*CodeDays)</f>
        <v>0</v>
      </c>
      <c r="AK15" s="33">
        <f>SUMPRODUCT(COUNTIF(C15:AG15,Codes)*(Codes&lt;&gt;"")*(CodeBucket="Personal")*CodeDays)</f>
        <v>0</v>
      </c>
      <c r="AL15" s="34">
        <f>SUMPRODUCT(COUNTIF(C15:AG15,Codes)*(Codes&lt;&gt;"")*(CodeBucket="Other")*CodeDays)</f>
        <v>0</v>
      </c>
      <c r="AM15" s="35">
        <f>SUM(AI15:AL15)</f>
        <v>0</v>
      </c>
    </row>
    <row r="16" spans="2:39" ht="17" customHeight="1">
      <c r="B16" s="29">
        <f>IF(Summary!B16="","",Summary!B16)</f>
        <v>0</v>
      </c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0"/>
      <c r="R16" s="30"/>
      <c r="S16" s="30"/>
      <c r="T16" s="30"/>
      <c r="U16" s="30"/>
      <c r="V16" s="30"/>
      <c r="W16" s="30"/>
      <c r="X16" s="30"/>
      <c r="Y16" s="30"/>
      <c r="Z16" s="30"/>
      <c r="AA16" s="30"/>
      <c r="AB16" s="30"/>
      <c r="AC16" s="30"/>
      <c r="AD16" s="30"/>
      <c r="AE16" s="30"/>
      <c r="AF16" s="30"/>
      <c r="AG16" s="30"/>
      <c r="AI16" s="31">
        <f>SUMPRODUCT(COUNTIF(C16:AG16,Codes)*(Codes&lt;&gt;"")*(CodeBucket="Vacation")*CodeDays)</f>
        <v>0</v>
      </c>
      <c r="AJ16" s="32">
        <f>SUMPRODUCT(COUNTIF(C16:AG16,Codes)*(Codes&lt;&gt;"")*(CodeBucket="Sick")*CodeDays)</f>
        <v>0</v>
      </c>
      <c r="AK16" s="33">
        <f>SUMPRODUCT(COUNTIF(C16:AG16,Codes)*(Codes&lt;&gt;"")*(CodeBucket="Personal")*CodeDays)</f>
        <v>0</v>
      </c>
      <c r="AL16" s="34">
        <f>SUMPRODUCT(COUNTIF(C16:AG16,Codes)*(Codes&lt;&gt;"")*(CodeBucket="Other")*CodeDays)</f>
        <v>0</v>
      </c>
      <c r="AM16" s="35">
        <f>SUM(AI16:AL16)</f>
        <v>0</v>
      </c>
    </row>
    <row r="17" spans="2:39" ht="17" customHeight="1">
      <c r="B17" s="29">
        <f>IF(Summary!B17="","",Summary!B17)</f>
        <v>0</v>
      </c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  <c r="O17" s="30"/>
      <c r="P17" s="30"/>
      <c r="Q17" s="30"/>
      <c r="R17" s="30"/>
      <c r="S17" s="30"/>
      <c r="T17" s="30"/>
      <c r="U17" s="30"/>
      <c r="V17" s="30"/>
      <c r="W17" s="30"/>
      <c r="X17" s="30"/>
      <c r="Y17" s="30"/>
      <c r="Z17" s="30"/>
      <c r="AA17" s="30"/>
      <c r="AB17" s="30"/>
      <c r="AC17" s="30"/>
      <c r="AD17" s="30"/>
      <c r="AE17" s="30"/>
      <c r="AF17" s="30"/>
      <c r="AG17" s="30"/>
      <c r="AI17" s="31">
        <f>SUMPRODUCT(COUNTIF(C17:AG17,Codes)*(Codes&lt;&gt;"")*(CodeBucket="Vacation")*CodeDays)</f>
        <v>0</v>
      </c>
      <c r="AJ17" s="32">
        <f>SUMPRODUCT(COUNTIF(C17:AG17,Codes)*(Codes&lt;&gt;"")*(CodeBucket="Sick")*CodeDays)</f>
        <v>0</v>
      </c>
      <c r="AK17" s="33">
        <f>SUMPRODUCT(COUNTIF(C17:AG17,Codes)*(Codes&lt;&gt;"")*(CodeBucket="Personal")*CodeDays)</f>
        <v>0</v>
      </c>
      <c r="AL17" s="34">
        <f>SUMPRODUCT(COUNTIF(C17:AG17,Codes)*(Codes&lt;&gt;"")*(CodeBucket="Other")*CodeDays)</f>
        <v>0</v>
      </c>
      <c r="AM17" s="35">
        <f>SUM(AI17:AL17)</f>
        <v>0</v>
      </c>
    </row>
    <row r="18" spans="2:39" ht="17" customHeight="1">
      <c r="B18" s="29">
        <f>IF(Summary!B18="","",Summary!B18)</f>
        <v>0</v>
      </c>
      <c r="C18" s="30"/>
      <c r="D18" s="30"/>
      <c r="E18" s="30"/>
      <c r="F18" s="30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30"/>
      <c r="R18" s="30"/>
      <c r="S18" s="30"/>
      <c r="T18" s="30"/>
      <c r="U18" s="30"/>
      <c r="V18" s="30"/>
      <c r="W18" s="30"/>
      <c r="X18" s="30"/>
      <c r="Y18" s="30"/>
      <c r="Z18" s="30"/>
      <c r="AA18" s="30"/>
      <c r="AB18" s="30"/>
      <c r="AC18" s="30"/>
      <c r="AD18" s="30"/>
      <c r="AE18" s="30"/>
      <c r="AF18" s="30"/>
      <c r="AG18" s="30"/>
      <c r="AI18" s="31">
        <f>SUMPRODUCT(COUNTIF(C18:AG18,Codes)*(Codes&lt;&gt;"")*(CodeBucket="Vacation")*CodeDays)</f>
        <v>0</v>
      </c>
      <c r="AJ18" s="32">
        <f>SUMPRODUCT(COUNTIF(C18:AG18,Codes)*(Codes&lt;&gt;"")*(CodeBucket="Sick")*CodeDays)</f>
        <v>0</v>
      </c>
      <c r="AK18" s="33">
        <f>SUMPRODUCT(COUNTIF(C18:AG18,Codes)*(Codes&lt;&gt;"")*(CodeBucket="Personal")*CodeDays)</f>
        <v>0</v>
      </c>
      <c r="AL18" s="34">
        <f>SUMPRODUCT(COUNTIF(C18:AG18,Codes)*(Codes&lt;&gt;"")*(CodeBucket="Other")*CodeDays)</f>
        <v>0</v>
      </c>
      <c r="AM18" s="35">
        <f>SUM(AI18:AL18)</f>
        <v>0</v>
      </c>
    </row>
    <row r="19" spans="2:39" ht="17" customHeight="1">
      <c r="B19" s="29">
        <f>IF(Summary!B19="","",Summary!B19)</f>
        <v>0</v>
      </c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30"/>
      <c r="AE19" s="30"/>
      <c r="AF19" s="30"/>
      <c r="AG19" s="30"/>
      <c r="AI19" s="31">
        <f>SUMPRODUCT(COUNTIF(C19:AG19,Codes)*(Codes&lt;&gt;"")*(CodeBucket="Vacation")*CodeDays)</f>
        <v>0</v>
      </c>
      <c r="AJ19" s="32">
        <f>SUMPRODUCT(COUNTIF(C19:AG19,Codes)*(Codes&lt;&gt;"")*(CodeBucket="Sick")*CodeDays)</f>
        <v>0</v>
      </c>
      <c r="AK19" s="33">
        <f>SUMPRODUCT(COUNTIF(C19:AG19,Codes)*(Codes&lt;&gt;"")*(CodeBucket="Personal")*CodeDays)</f>
        <v>0</v>
      </c>
      <c r="AL19" s="34">
        <f>SUMPRODUCT(COUNTIF(C19:AG19,Codes)*(Codes&lt;&gt;"")*(CodeBucket="Other")*CodeDays)</f>
        <v>0</v>
      </c>
      <c r="AM19" s="35">
        <f>SUM(AI19:AL19)</f>
        <v>0</v>
      </c>
    </row>
    <row r="20" spans="2:39" ht="17" customHeight="1">
      <c r="B20" s="29">
        <f>IF(Summary!B20="","",Summary!B20)</f>
        <v>0</v>
      </c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0"/>
      <c r="V20" s="30"/>
      <c r="W20" s="30"/>
      <c r="X20" s="30"/>
      <c r="Y20" s="30"/>
      <c r="Z20" s="30"/>
      <c r="AA20" s="30"/>
      <c r="AB20" s="30"/>
      <c r="AC20" s="30"/>
      <c r="AD20" s="30"/>
      <c r="AE20" s="30"/>
      <c r="AF20" s="30"/>
      <c r="AG20" s="30"/>
      <c r="AI20" s="31">
        <f>SUMPRODUCT(COUNTIF(C20:AG20,Codes)*(Codes&lt;&gt;"")*(CodeBucket="Vacation")*CodeDays)</f>
        <v>0</v>
      </c>
      <c r="AJ20" s="32">
        <f>SUMPRODUCT(COUNTIF(C20:AG20,Codes)*(Codes&lt;&gt;"")*(CodeBucket="Sick")*CodeDays)</f>
        <v>0</v>
      </c>
      <c r="AK20" s="33">
        <f>SUMPRODUCT(COUNTIF(C20:AG20,Codes)*(Codes&lt;&gt;"")*(CodeBucket="Personal")*CodeDays)</f>
        <v>0</v>
      </c>
      <c r="AL20" s="34">
        <f>SUMPRODUCT(COUNTIF(C20:AG20,Codes)*(Codes&lt;&gt;"")*(CodeBucket="Other")*CodeDays)</f>
        <v>0</v>
      </c>
      <c r="AM20" s="35">
        <f>SUM(AI20:AL20)</f>
        <v>0</v>
      </c>
    </row>
    <row r="21" spans="2:39" ht="17" customHeight="1">
      <c r="B21" s="29">
        <f>IF(Summary!B21="","",Summary!B21)</f>
        <v>0</v>
      </c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0"/>
      <c r="P21" s="30"/>
      <c r="Q21" s="30"/>
      <c r="R21" s="30"/>
      <c r="S21" s="30"/>
      <c r="T21" s="30"/>
      <c r="U21" s="30"/>
      <c r="V21" s="30"/>
      <c r="W21" s="30"/>
      <c r="X21" s="30"/>
      <c r="Y21" s="30"/>
      <c r="Z21" s="30"/>
      <c r="AA21" s="30"/>
      <c r="AB21" s="30"/>
      <c r="AC21" s="30"/>
      <c r="AD21" s="30"/>
      <c r="AE21" s="30"/>
      <c r="AF21" s="30"/>
      <c r="AG21" s="30"/>
      <c r="AI21" s="31">
        <f>SUMPRODUCT(COUNTIF(C21:AG21,Codes)*(Codes&lt;&gt;"")*(CodeBucket="Vacation")*CodeDays)</f>
        <v>0</v>
      </c>
      <c r="AJ21" s="32">
        <f>SUMPRODUCT(COUNTIF(C21:AG21,Codes)*(Codes&lt;&gt;"")*(CodeBucket="Sick")*CodeDays)</f>
        <v>0</v>
      </c>
      <c r="AK21" s="33">
        <f>SUMPRODUCT(COUNTIF(C21:AG21,Codes)*(Codes&lt;&gt;"")*(CodeBucket="Personal")*CodeDays)</f>
        <v>0</v>
      </c>
      <c r="AL21" s="34">
        <f>SUMPRODUCT(COUNTIF(C21:AG21,Codes)*(Codes&lt;&gt;"")*(CodeBucket="Other")*CodeDays)</f>
        <v>0</v>
      </c>
      <c r="AM21" s="35">
        <f>SUM(AI21:AL21)</f>
        <v>0</v>
      </c>
    </row>
    <row r="22" spans="2:39" ht="17" customHeight="1">
      <c r="B22" s="29">
        <f>IF(Summary!B22="","",Summary!B22)</f>
        <v>0</v>
      </c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0"/>
      <c r="W22" s="30"/>
      <c r="X22" s="30"/>
      <c r="Y22" s="30"/>
      <c r="Z22" s="30"/>
      <c r="AA22" s="30"/>
      <c r="AB22" s="30"/>
      <c r="AC22" s="30"/>
      <c r="AD22" s="30"/>
      <c r="AE22" s="30"/>
      <c r="AF22" s="30"/>
      <c r="AG22" s="30"/>
      <c r="AI22" s="31">
        <f>SUMPRODUCT(COUNTIF(C22:AG22,Codes)*(Codes&lt;&gt;"")*(CodeBucket="Vacation")*CodeDays)</f>
        <v>0</v>
      </c>
      <c r="AJ22" s="32">
        <f>SUMPRODUCT(COUNTIF(C22:AG22,Codes)*(Codes&lt;&gt;"")*(CodeBucket="Sick")*CodeDays)</f>
        <v>0</v>
      </c>
      <c r="AK22" s="33">
        <f>SUMPRODUCT(COUNTIF(C22:AG22,Codes)*(Codes&lt;&gt;"")*(CodeBucket="Personal")*CodeDays)</f>
        <v>0</v>
      </c>
      <c r="AL22" s="34">
        <f>SUMPRODUCT(COUNTIF(C22:AG22,Codes)*(Codes&lt;&gt;"")*(CodeBucket="Other")*CodeDays)</f>
        <v>0</v>
      </c>
      <c r="AM22" s="35">
        <f>SUM(AI22:AL22)</f>
        <v>0</v>
      </c>
    </row>
    <row r="23" spans="2:39" ht="17" customHeight="1">
      <c r="B23" s="29">
        <f>IF(Summary!B23="","",Summary!B23)</f>
        <v>0</v>
      </c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30"/>
      <c r="S23" s="30"/>
      <c r="T23" s="30"/>
      <c r="U23" s="30"/>
      <c r="V23" s="30"/>
      <c r="W23" s="30"/>
      <c r="X23" s="30"/>
      <c r="Y23" s="30"/>
      <c r="Z23" s="30"/>
      <c r="AA23" s="30"/>
      <c r="AB23" s="30"/>
      <c r="AC23" s="30"/>
      <c r="AD23" s="30"/>
      <c r="AE23" s="30"/>
      <c r="AF23" s="30"/>
      <c r="AG23" s="30"/>
      <c r="AI23" s="31">
        <f>SUMPRODUCT(COUNTIF(C23:AG23,Codes)*(Codes&lt;&gt;"")*(CodeBucket="Vacation")*CodeDays)</f>
        <v>0</v>
      </c>
      <c r="AJ23" s="32">
        <f>SUMPRODUCT(COUNTIF(C23:AG23,Codes)*(Codes&lt;&gt;"")*(CodeBucket="Sick")*CodeDays)</f>
        <v>0</v>
      </c>
      <c r="AK23" s="33">
        <f>SUMPRODUCT(COUNTIF(C23:AG23,Codes)*(Codes&lt;&gt;"")*(CodeBucket="Personal")*CodeDays)</f>
        <v>0</v>
      </c>
      <c r="AL23" s="34">
        <f>SUMPRODUCT(COUNTIF(C23:AG23,Codes)*(Codes&lt;&gt;"")*(CodeBucket="Other")*CodeDays)</f>
        <v>0</v>
      </c>
      <c r="AM23" s="35">
        <f>SUM(AI23:AL23)</f>
        <v>0</v>
      </c>
    </row>
    <row r="24" spans="2:39" ht="17" customHeight="1">
      <c r="B24" s="29">
        <f>IF(Summary!B24="","",Summary!B24)</f>
        <v>0</v>
      </c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30"/>
      <c r="S24" s="30"/>
      <c r="T24" s="30"/>
      <c r="U24" s="30"/>
      <c r="V24" s="30"/>
      <c r="W24" s="30"/>
      <c r="X24" s="30"/>
      <c r="Y24" s="30"/>
      <c r="Z24" s="30"/>
      <c r="AA24" s="30"/>
      <c r="AB24" s="30"/>
      <c r="AC24" s="30"/>
      <c r="AD24" s="30"/>
      <c r="AE24" s="30"/>
      <c r="AF24" s="30"/>
      <c r="AG24" s="30"/>
      <c r="AI24" s="31">
        <f>SUMPRODUCT(COUNTIF(C24:AG24,Codes)*(Codes&lt;&gt;"")*(CodeBucket="Vacation")*CodeDays)</f>
        <v>0</v>
      </c>
      <c r="AJ24" s="32">
        <f>SUMPRODUCT(COUNTIF(C24:AG24,Codes)*(Codes&lt;&gt;"")*(CodeBucket="Sick")*CodeDays)</f>
        <v>0</v>
      </c>
      <c r="AK24" s="33">
        <f>SUMPRODUCT(COUNTIF(C24:AG24,Codes)*(Codes&lt;&gt;"")*(CodeBucket="Personal")*CodeDays)</f>
        <v>0</v>
      </c>
      <c r="AL24" s="34">
        <f>SUMPRODUCT(COUNTIF(C24:AG24,Codes)*(Codes&lt;&gt;"")*(CodeBucket="Other")*CodeDays)</f>
        <v>0</v>
      </c>
      <c r="AM24" s="35">
        <f>SUM(AI24:AL24)</f>
        <v>0</v>
      </c>
    </row>
    <row r="25" spans="2:39" ht="17" customHeight="1">
      <c r="B25" s="29">
        <f>IF(Summary!B25="","",Summary!B25)</f>
        <v>0</v>
      </c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I25" s="31">
        <f>SUMPRODUCT(COUNTIF(C25:AG25,Codes)*(Codes&lt;&gt;"")*(CodeBucket="Vacation")*CodeDays)</f>
        <v>0</v>
      </c>
      <c r="AJ25" s="32">
        <f>SUMPRODUCT(COUNTIF(C25:AG25,Codes)*(Codes&lt;&gt;"")*(CodeBucket="Sick")*CodeDays)</f>
        <v>0</v>
      </c>
      <c r="AK25" s="33">
        <f>SUMPRODUCT(COUNTIF(C25:AG25,Codes)*(Codes&lt;&gt;"")*(CodeBucket="Personal")*CodeDays)</f>
        <v>0</v>
      </c>
      <c r="AL25" s="34">
        <f>SUMPRODUCT(COUNTIF(C25:AG25,Codes)*(Codes&lt;&gt;"")*(CodeBucket="Other")*CodeDays)</f>
        <v>0</v>
      </c>
      <c r="AM25" s="35">
        <f>SUM(AI25:AL25)</f>
        <v>0</v>
      </c>
    </row>
    <row r="26" spans="2:39" ht="17" customHeight="1">
      <c r="B26" s="29">
        <f>IF(Summary!B26="","",Summary!B26)</f>
        <v>0</v>
      </c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I26" s="31">
        <f>SUMPRODUCT(COUNTIF(C26:AG26,Codes)*(Codes&lt;&gt;"")*(CodeBucket="Vacation")*CodeDays)</f>
        <v>0</v>
      </c>
      <c r="AJ26" s="32">
        <f>SUMPRODUCT(COUNTIF(C26:AG26,Codes)*(Codes&lt;&gt;"")*(CodeBucket="Sick")*CodeDays)</f>
        <v>0</v>
      </c>
      <c r="AK26" s="33">
        <f>SUMPRODUCT(COUNTIF(C26:AG26,Codes)*(Codes&lt;&gt;"")*(CodeBucket="Personal")*CodeDays)</f>
        <v>0</v>
      </c>
      <c r="AL26" s="34">
        <f>SUMPRODUCT(COUNTIF(C26:AG26,Codes)*(Codes&lt;&gt;"")*(CodeBucket="Other")*CodeDays)</f>
        <v>0</v>
      </c>
      <c r="AM26" s="35">
        <f>SUM(AI26:AL26)</f>
        <v>0</v>
      </c>
    </row>
    <row r="27" spans="2:39" ht="17" customHeight="1">
      <c r="B27" s="29">
        <f>IF(Summary!B27="","",Summary!B27)</f>
        <v>0</v>
      </c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  <c r="AD27" s="30"/>
      <c r="AE27" s="30"/>
      <c r="AF27" s="30"/>
      <c r="AG27" s="30"/>
      <c r="AI27" s="31">
        <f>SUMPRODUCT(COUNTIF(C27:AG27,Codes)*(Codes&lt;&gt;"")*(CodeBucket="Vacation")*CodeDays)</f>
        <v>0</v>
      </c>
      <c r="AJ27" s="32">
        <f>SUMPRODUCT(COUNTIF(C27:AG27,Codes)*(Codes&lt;&gt;"")*(CodeBucket="Sick")*CodeDays)</f>
        <v>0</v>
      </c>
      <c r="AK27" s="33">
        <f>SUMPRODUCT(COUNTIF(C27:AG27,Codes)*(Codes&lt;&gt;"")*(CodeBucket="Personal")*CodeDays)</f>
        <v>0</v>
      </c>
      <c r="AL27" s="34">
        <f>SUMPRODUCT(COUNTIF(C27:AG27,Codes)*(Codes&lt;&gt;"")*(CodeBucket="Other")*CodeDays)</f>
        <v>0</v>
      </c>
      <c r="AM27" s="35">
        <f>SUM(AI27:AL27)</f>
        <v>0</v>
      </c>
    </row>
    <row r="28" spans="2:39" ht="17" customHeight="1">
      <c r="B28" s="29">
        <f>IF(Summary!B28="","",Summary!B28)</f>
        <v>0</v>
      </c>
      <c r="C28" s="30"/>
      <c r="D28" s="30"/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0"/>
      <c r="P28" s="30"/>
      <c r="Q28" s="30"/>
      <c r="R28" s="30"/>
      <c r="S28" s="30"/>
      <c r="T28" s="30"/>
      <c r="U28" s="30"/>
      <c r="V28" s="30"/>
      <c r="W28" s="30"/>
      <c r="X28" s="30"/>
      <c r="Y28" s="30"/>
      <c r="Z28" s="30"/>
      <c r="AA28" s="30"/>
      <c r="AB28" s="30"/>
      <c r="AC28" s="30"/>
      <c r="AD28" s="30"/>
      <c r="AE28" s="30"/>
      <c r="AF28" s="30"/>
      <c r="AG28" s="30"/>
      <c r="AI28" s="31">
        <f>SUMPRODUCT(COUNTIF(C28:AG28,Codes)*(Codes&lt;&gt;"")*(CodeBucket="Vacation")*CodeDays)</f>
        <v>0</v>
      </c>
      <c r="AJ28" s="32">
        <f>SUMPRODUCT(COUNTIF(C28:AG28,Codes)*(Codes&lt;&gt;"")*(CodeBucket="Sick")*CodeDays)</f>
        <v>0</v>
      </c>
      <c r="AK28" s="33">
        <f>SUMPRODUCT(COUNTIF(C28:AG28,Codes)*(Codes&lt;&gt;"")*(CodeBucket="Personal")*CodeDays)</f>
        <v>0</v>
      </c>
      <c r="AL28" s="34">
        <f>SUMPRODUCT(COUNTIF(C28:AG28,Codes)*(Codes&lt;&gt;"")*(CodeBucket="Other")*CodeDays)</f>
        <v>0</v>
      </c>
      <c r="AM28" s="35">
        <f>SUM(AI28:AL28)</f>
        <v>0</v>
      </c>
    </row>
    <row r="29" spans="2:39" ht="17" customHeight="1">
      <c r="B29" s="29">
        <f>IF(Summary!B29="","",Summary!B29)</f>
        <v>0</v>
      </c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30"/>
      <c r="AD29" s="30"/>
      <c r="AE29" s="30"/>
      <c r="AF29" s="30"/>
      <c r="AG29" s="30"/>
      <c r="AI29" s="31">
        <f>SUMPRODUCT(COUNTIF(C29:AG29,Codes)*(Codes&lt;&gt;"")*(CodeBucket="Vacation")*CodeDays)</f>
        <v>0</v>
      </c>
      <c r="AJ29" s="32">
        <f>SUMPRODUCT(COUNTIF(C29:AG29,Codes)*(Codes&lt;&gt;"")*(CodeBucket="Sick")*CodeDays)</f>
        <v>0</v>
      </c>
      <c r="AK29" s="33">
        <f>SUMPRODUCT(COUNTIF(C29:AG29,Codes)*(Codes&lt;&gt;"")*(CodeBucket="Personal")*CodeDays)</f>
        <v>0</v>
      </c>
      <c r="AL29" s="34">
        <f>SUMPRODUCT(COUNTIF(C29:AG29,Codes)*(Codes&lt;&gt;"")*(CodeBucket="Other")*CodeDays)</f>
        <v>0</v>
      </c>
      <c r="AM29" s="35">
        <f>SUM(AI29:AL29)</f>
        <v>0</v>
      </c>
    </row>
    <row r="30" spans="2:39" ht="17" customHeight="1">
      <c r="B30" s="29">
        <f>IF(Summary!B30="","",Summary!B30)</f>
        <v>0</v>
      </c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  <c r="AF30" s="30"/>
      <c r="AG30" s="30"/>
      <c r="AI30" s="31">
        <f>SUMPRODUCT(COUNTIF(C30:AG30,Codes)*(Codes&lt;&gt;"")*(CodeBucket="Vacation")*CodeDays)</f>
        <v>0</v>
      </c>
      <c r="AJ30" s="32">
        <f>SUMPRODUCT(COUNTIF(C30:AG30,Codes)*(Codes&lt;&gt;"")*(CodeBucket="Sick")*CodeDays)</f>
        <v>0</v>
      </c>
      <c r="AK30" s="33">
        <f>SUMPRODUCT(COUNTIF(C30:AG30,Codes)*(Codes&lt;&gt;"")*(CodeBucket="Personal")*CodeDays)</f>
        <v>0</v>
      </c>
      <c r="AL30" s="34">
        <f>SUMPRODUCT(COUNTIF(C30:AG30,Codes)*(Codes&lt;&gt;"")*(CodeBucket="Other")*CodeDays)</f>
        <v>0</v>
      </c>
      <c r="AM30" s="35">
        <f>SUM(AI30:AL30)</f>
        <v>0</v>
      </c>
    </row>
    <row r="31" spans="2:39" ht="16" customHeight="1">
      <c r="B31" s="36" t="s">
        <v>94</v>
      </c>
      <c r="C31" s="37">
        <f>IF(COUNTA(C6:C30)=0,"",COUNTA(C6:C30))</f>
        <v>0</v>
      </c>
      <c r="D31" s="37">
        <f>IF(COUNTA(D6:D30)=0,"",COUNTA(D6:D30))</f>
        <v>0</v>
      </c>
      <c r="E31" s="37">
        <f>IF(COUNTA(E6:E30)=0,"",COUNTA(E6:E30))</f>
        <v>0</v>
      </c>
      <c r="F31" s="37">
        <f>IF(COUNTA(F6:F30)=0,"",COUNTA(F6:F30))</f>
        <v>0</v>
      </c>
      <c r="G31" s="37">
        <f>IF(COUNTA(G6:G30)=0,"",COUNTA(G6:G30))</f>
        <v>0</v>
      </c>
      <c r="H31" s="37">
        <f>IF(COUNTA(H6:H30)=0,"",COUNTA(H6:H30))</f>
        <v>0</v>
      </c>
      <c r="I31" s="37">
        <f>IF(COUNTA(I6:I30)=0,"",COUNTA(I6:I30))</f>
        <v>0</v>
      </c>
      <c r="J31" s="37">
        <f>IF(COUNTA(J6:J30)=0,"",COUNTA(J6:J30))</f>
        <v>0</v>
      </c>
      <c r="K31" s="37">
        <f>IF(COUNTA(K6:K30)=0,"",COUNTA(K6:K30))</f>
        <v>0</v>
      </c>
      <c r="L31" s="37">
        <f>IF(COUNTA(L6:L30)=0,"",COUNTA(L6:L30))</f>
        <v>0</v>
      </c>
      <c r="M31" s="37">
        <f>IF(COUNTA(M6:M30)=0,"",COUNTA(M6:M30))</f>
        <v>0</v>
      </c>
      <c r="N31" s="37">
        <f>IF(COUNTA(N6:N30)=0,"",COUNTA(N6:N30))</f>
        <v>0</v>
      </c>
      <c r="O31" s="37">
        <f>IF(COUNTA(O6:O30)=0,"",COUNTA(O6:O30))</f>
        <v>0</v>
      </c>
      <c r="P31" s="37">
        <f>IF(COUNTA(P6:P30)=0,"",COUNTA(P6:P30))</f>
        <v>0</v>
      </c>
      <c r="Q31" s="37">
        <f>IF(COUNTA(Q6:Q30)=0,"",COUNTA(Q6:Q30))</f>
        <v>0</v>
      </c>
      <c r="R31" s="37">
        <f>IF(COUNTA(R6:R30)=0,"",COUNTA(R6:R30))</f>
        <v>0</v>
      </c>
      <c r="S31" s="37">
        <f>IF(COUNTA(S6:S30)=0,"",COUNTA(S6:S30))</f>
        <v>0</v>
      </c>
      <c r="T31" s="37">
        <f>IF(COUNTA(T6:T30)=0,"",COUNTA(T6:T30))</f>
        <v>0</v>
      </c>
      <c r="U31" s="37">
        <f>IF(COUNTA(U6:U30)=0,"",COUNTA(U6:U30))</f>
        <v>0</v>
      </c>
      <c r="V31" s="37">
        <f>IF(COUNTA(V6:V30)=0,"",COUNTA(V6:V30))</f>
        <v>0</v>
      </c>
      <c r="W31" s="37">
        <f>IF(COUNTA(W6:W30)=0,"",COUNTA(W6:W30))</f>
        <v>0</v>
      </c>
      <c r="X31" s="37">
        <f>IF(COUNTA(X6:X30)=0,"",COUNTA(X6:X30))</f>
        <v>0</v>
      </c>
      <c r="Y31" s="37">
        <f>IF(COUNTA(Y6:Y30)=0,"",COUNTA(Y6:Y30))</f>
        <v>0</v>
      </c>
      <c r="Z31" s="37">
        <f>IF(COUNTA(Z6:Z30)=0,"",COUNTA(Z6:Z30))</f>
        <v>0</v>
      </c>
      <c r="AA31" s="37">
        <f>IF(COUNTA(AA6:AA30)=0,"",COUNTA(AA6:AA30))</f>
        <v>0</v>
      </c>
      <c r="AB31" s="37">
        <f>IF(COUNTA(AB6:AB30)=0,"",COUNTA(AB6:AB30))</f>
        <v>0</v>
      </c>
      <c r="AC31" s="37">
        <f>IF(COUNTA(AC6:AC30)=0,"",COUNTA(AC6:AC30))</f>
        <v>0</v>
      </c>
      <c r="AD31" s="37">
        <f>IF(COUNTA(AD6:AD30)=0,"",COUNTA(AD6:AD30))</f>
        <v>0</v>
      </c>
      <c r="AE31" s="37">
        <f>IF(COUNTA(AE6:AE30)=0,"",COUNTA(AE6:AE30))</f>
        <v>0</v>
      </c>
      <c r="AF31" s="37">
        <f>IF(COUNTA(AF6:AF30)=0,"",COUNTA(AF6:AF30))</f>
        <v>0</v>
      </c>
      <c r="AG31" s="37">
        <f>IF(COUNTA(AG6:AG30)=0,"",COUNTA(AG6:AG30))</f>
        <v>0</v>
      </c>
    </row>
    <row r="33" spans="2:39">
      <c r="B33" s="38" t="s">
        <v>95</v>
      </c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8"/>
      <c r="AG33" s="38"/>
      <c r="AH33" s="38"/>
      <c r="AI33" s="38"/>
      <c r="AJ33" s="38"/>
      <c r="AK33" s="38"/>
      <c r="AL33" s="38"/>
      <c r="AM33" s="38"/>
    </row>
  </sheetData>
  <mergeCells count="9">
    <mergeCell ref="B2:I2"/>
    <mergeCell ref="J2:N2"/>
    <mergeCell ref="P2:AM2"/>
    <mergeCell ref="AI4:AI5"/>
    <mergeCell ref="AJ4:AJ5"/>
    <mergeCell ref="AK4:AK5"/>
    <mergeCell ref="AL4:AL5"/>
    <mergeCell ref="AM4:AM5"/>
    <mergeCell ref="B33:AM33"/>
  </mergeCells>
  <conditionalFormatting sqref="C4:AG5">
    <cfRule type="expression" dxfId="7" priority="8">
      <formula>AND(MONTH(DATE(CalYear,12,COLUMN()-2))=12,COUNTIFS(INDIRECT("Holidays!$C$6:$C$60"),DATE(CalYear,12,COLUMN()-2),INDIRECT("Holidays!$D$6:$D$60"),"Holiday")&gt;0)</formula>
    </cfRule>
  </conditionalFormatting>
  <conditionalFormatting sqref="C6:AG30">
    <cfRule type="expression" dxfId="0" priority="1" stopIfTrue="1">
      <formula>MONTH(DATE(CalYear,12,COLUMN()-2))&lt;&gt;12</formula>
    </cfRule>
    <cfRule type="expression" dxfId="1" priority="2" stopIfTrue="1">
      <formula>AND(C6&lt;&gt;"",COUNTIFS(INDIRECT("Setup!$B$9:$B$22"),C6,INDIRECT("Setup!$E$9:$E$22"),"Vacation")&gt;0)</formula>
    </cfRule>
    <cfRule type="expression" dxfId="2" priority="3" stopIfTrue="1">
      <formula>AND(C6&lt;&gt;"",COUNTIFS(INDIRECT("Setup!$B$9:$B$22"),C6,INDIRECT("Setup!$E$9:$E$22"),"Sick")&gt;0)</formula>
    </cfRule>
    <cfRule type="expression" dxfId="3" priority="4" stopIfTrue="1">
      <formula>AND(C6&lt;&gt;"",COUNTIFS(INDIRECT("Setup!$B$9:$B$22"),C6,INDIRECT("Setup!$E$9:$E$22"),"Personal")&gt;0)</formula>
    </cfRule>
    <cfRule type="expression" dxfId="4" priority="5" stopIfTrue="1">
      <formula>AND(C6&lt;&gt;"",COUNTIFS(INDIRECT("Setup!$B$9:$B$22"),C6,INDIRECT("Setup!$E$9:$E$22"),"Other")&gt;0)</formula>
    </cfRule>
    <cfRule type="expression" dxfId="5" priority="6" stopIfTrue="1">
      <formula>COUNTIFS(INDIRECT("Holidays!$C$6:$C$60"),DATE(CalYear,12,COLUMN()-2),INDIRECT("Holidays!$D$6:$D$60"),"Holiday")&gt;0</formula>
    </cfRule>
    <cfRule type="expression" dxfId="6" priority="7" stopIfTrue="1">
      <formula>OR(WEEKDAY(DATE(CalYear,12,COLUMN()-2))=1,WEEKDAY(DATE(CalYear,12,COLUMN()-2))=7)</formula>
    </cfRule>
  </conditionalFormatting>
  <dataValidations count="1">
    <dataValidation type="list" errorStyle="warning" allowBlank="1" showInputMessage="1" showErrorMessage="1" error="Not a code from the Setup tab (it won't be counted)." sqref="C6:AG30">
      <formula1>Codes</formula1>
    </dataValidation>
  </dataValidations>
  <printOptions horizontalCentered="1"/>
  <pageMargins left="0.3" right="0.3" top="0.3" bottom="0.3" header="0.3" footer="0.3"/>
  <pageSetup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>
  <sheetPr>
    <pageSetUpPr fitToPage="1"/>
  </sheetPr>
  <dimension ref="A2:G22"/>
  <sheetViews>
    <sheetView showGridLines="0" workbookViewId="0"/>
  </sheetViews>
  <sheetFormatPr defaultRowHeight="15"/>
  <cols>
    <col min="1" max="1" width="2.7109375" customWidth="1"/>
    <col min="2" max="2" width="9.7109375" customWidth="1"/>
    <col min="3" max="3" width="26.7109375" customWidth="1"/>
    <col min="4" max="4" width="8.7109375" customWidth="1"/>
    <col min="5" max="5" width="14.7109375" customWidth="1"/>
    <col min="6" max="6" width="3.7109375" customWidth="1"/>
    <col min="7" max="7" width="60.7109375" customWidth="1"/>
  </cols>
  <sheetData>
    <row r="2" spans="2:7" ht="32" customHeight="1">
      <c r="B2" s="39" t="s">
        <v>0</v>
      </c>
    </row>
    <row r="3" spans="2:7">
      <c r="B3" s="2" t="s">
        <v>1</v>
      </c>
    </row>
    <row r="5" spans="2:7">
      <c r="B5" s="40" t="s">
        <v>2</v>
      </c>
    </row>
    <row r="6" spans="2:7">
      <c r="B6" s="41">
        <v>2027</v>
      </c>
    </row>
    <row r="8" spans="2:7">
      <c r="B8" s="42" t="s">
        <v>3</v>
      </c>
      <c r="C8" s="42" t="s">
        <v>4</v>
      </c>
      <c r="D8" s="42" t="s">
        <v>5</v>
      </c>
      <c r="E8" s="42" t="s">
        <v>6</v>
      </c>
      <c r="G8" s="43" t="s">
        <v>28</v>
      </c>
    </row>
    <row r="9" spans="2:7">
      <c r="B9" s="5" t="s">
        <v>7</v>
      </c>
      <c r="C9" s="44" t="s">
        <v>8</v>
      </c>
      <c r="D9" s="45">
        <v>1</v>
      </c>
      <c r="E9" s="44" t="s">
        <v>8</v>
      </c>
      <c r="G9" s="46" t="s">
        <v>29</v>
      </c>
    </row>
    <row r="10" spans="2:7">
      <c r="B10" s="5" t="s">
        <v>9</v>
      </c>
      <c r="C10" s="44" t="s">
        <v>10</v>
      </c>
      <c r="D10" s="45">
        <v>0.5</v>
      </c>
      <c r="E10" s="44" t="s">
        <v>8</v>
      </c>
      <c r="G10" s="46" t="s">
        <v>30</v>
      </c>
    </row>
    <row r="11" spans="2:7">
      <c r="B11" s="5" t="s">
        <v>11</v>
      </c>
      <c r="C11" s="44" t="s">
        <v>12</v>
      </c>
      <c r="D11" s="45">
        <v>1</v>
      </c>
      <c r="E11" s="44" t="s">
        <v>12</v>
      </c>
      <c r="G11" s="46" t="s">
        <v>31</v>
      </c>
    </row>
    <row r="12" spans="2:7">
      <c r="B12" s="5" t="s">
        <v>13</v>
      </c>
      <c r="C12" s="44" t="s">
        <v>14</v>
      </c>
      <c r="D12" s="45">
        <v>0.5</v>
      </c>
      <c r="E12" s="44" t="s">
        <v>12</v>
      </c>
      <c r="G12" s="46" t="s">
        <v>32</v>
      </c>
    </row>
    <row r="13" spans="2:7">
      <c r="B13" s="5" t="s">
        <v>15</v>
      </c>
      <c r="C13" s="44" t="s">
        <v>16</v>
      </c>
      <c r="D13" s="45">
        <v>1</v>
      </c>
      <c r="E13" s="44" t="s">
        <v>16</v>
      </c>
      <c r="G13" s="46" t="s">
        <v>33</v>
      </c>
    </row>
    <row r="14" spans="2:7">
      <c r="B14" s="5" t="s">
        <v>17</v>
      </c>
      <c r="C14" s="44" t="s">
        <v>18</v>
      </c>
      <c r="D14" s="45">
        <v>0.5</v>
      </c>
      <c r="E14" s="44" t="s">
        <v>16</v>
      </c>
    </row>
    <row r="15" spans="2:7">
      <c r="B15" s="5" t="s">
        <v>19</v>
      </c>
      <c r="C15" s="44" t="s">
        <v>20</v>
      </c>
      <c r="D15" s="45">
        <v>1</v>
      </c>
      <c r="E15" s="44" t="s">
        <v>21</v>
      </c>
    </row>
    <row r="16" spans="2:7">
      <c r="B16" s="5" t="s">
        <v>22</v>
      </c>
      <c r="C16" s="44" t="s">
        <v>23</v>
      </c>
      <c r="D16" s="45">
        <v>1</v>
      </c>
      <c r="E16" s="44" t="s">
        <v>21</v>
      </c>
    </row>
    <row r="17" spans="2:5">
      <c r="B17" s="5" t="s">
        <v>24</v>
      </c>
      <c r="C17" s="44" t="s">
        <v>25</v>
      </c>
      <c r="D17" s="45">
        <v>1</v>
      </c>
      <c r="E17" s="44" t="s">
        <v>21</v>
      </c>
    </row>
    <row r="18" spans="2:5">
      <c r="B18" s="5" t="s">
        <v>26</v>
      </c>
      <c r="C18" s="44" t="s">
        <v>27</v>
      </c>
      <c r="D18" s="45">
        <v>1</v>
      </c>
      <c r="E18" s="44" t="s">
        <v>21</v>
      </c>
    </row>
    <row r="19" spans="2:5">
      <c r="B19" s="5"/>
      <c r="C19" s="44"/>
      <c r="D19" s="45"/>
      <c r="E19" s="44"/>
    </row>
    <row r="20" spans="2:5">
      <c r="B20" s="5"/>
      <c r="C20" s="44"/>
      <c r="D20" s="45"/>
      <c r="E20" s="44"/>
    </row>
    <row r="21" spans="2:5">
      <c r="B21" s="5"/>
      <c r="C21" s="44"/>
      <c r="D21" s="45"/>
      <c r="E21" s="44"/>
    </row>
    <row r="22" spans="2:5">
      <c r="B22" s="5"/>
      <c r="C22" s="44"/>
      <c r="D22" s="45"/>
      <c r="E22" s="44"/>
    </row>
  </sheetData>
  <dataValidations count="3">
    <dataValidation type="whole" allowBlank="1" showInputMessage="1" showErrorMessage="1" sqref="B6">
      <formula1>1901</formula1>
      <formula2>9998</formula2>
    </dataValidation>
    <dataValidation type="list" allowBlank="1" showInputMessage="1" showErrorMessage="1" sqref="E9:E22">
      <formula1>"Vacation,Sick,Personal,Other"</formula1>
    </dataValidation>
    <dataValidation type="list" allowBlank="1" showInputMessage="1" showErrorMessage="1" sqref="D9:D22">
      <formula1>"1,0.5,0.25"</formula1>
    </dataValidation>
  </dataValidations>
  <printOptions horizontalCentered="1"/>
  <pageMargins left="0.4" right="0.4" top="0.4" bottom="0.4" header="0.3" footer="0.3"/>
  <pageSetup orientation="portrait"/>
  <headerFooter/>
</worksheet>
</file>

<file path=xl/worksheets/sheet15.xml><?xml version="1.0" encoding="utf-8"?>
<worksheet xmlns="http://schemas.openxmlformats.org/spreadsheetml/2006/main" xmlns:r="http://schemas.openxmlformats.org/officeDocument/2006/relationships">
  <sheetPr>
    <pageSetUpPr fitToPage="1"/>
  </sheetPr>
  <dimension ref="A2:F60"/>
  <sheetViews>
    <sheetView showGridLines="0" workbookViewId="0">
      <pane ySplit="5" topLeftCell="A6" activePane="bottomLeft" state="frozen"/>
      <selection pane="bottomLeft"/>
    </sheetView>
  </sheetViews>
  <sheetFormatPr defaultRowHeight="15"/>
  <cols>
    <col min="1" max="1" width="2.7109375" customWidth="1"/>
    <col min="2" max="2" width="34.7109375" customWidth="1"/>
    <col min="3" max="3" width="18.7109375" customWidth="1"/>
    <col min="4" max="4" width="14.7109375" customWidth="1"/>
    <col min="5" max="5" width="3.7109375" customWidth="1"/>
    <col min="6" max="6" width="52.7109375" customWidth="1"/>
  </cols>
  <sheetData>
    <row r="2" spans="2:6" ht="34" customHeight="1">
      <c r="B2" s="47" t="s">
        <v>34</v>
      </c>
    </row>
    <row r="3" spans="2:6">
      <c r="B3" s="2">
        <f>"Dates update automatically for "&amp;CalYear&amp;". Add your own below."</f>
        <v>0</v>
      </c>
    </row>
    <row r="5" spans="2:6">
      <c r="B5" s="48" t="s">
        <v>35</v>
      </c>
      <c r="C5" s="48" t="s">
        <v>36</v>
      </c>
      <c r="D5" s="48" t="s">
        <v>37</v>
      </c>
      <c r="F5" s="43" t="s">
        <v>28</v>
      </c>
    </row>
    <row r="6" spans="2:6">
      <c r="B6" s="49" t="s">
        <v>38</v>
      </c>
      <c r="C6" s="50">
        <f>DATE(CalYear,1,1)</f>
        <v>0</v>
      </c>
      <c r="D6" s="51" t="s">
        <v>39</v>
      </c>
      <c r="F6" s="46" t="s">
        <v>61</v>
      </c>
    </row>
    <row r="7" spans="2:6">
      <c r="B7" s="49" t="s">
        <v>40</v>
      </c>
      <c r="C7" s="50">
        <f>DATE(CalYear,1,1)+MOD(2-WEEKDAY(DATE(CalYear,1,1)),7)+14</f>
        <v>0</v>
      </c>
      <c r="D7" s="51" t="s">
        <v>39</v>
      </c>
      <c r="F7" s="46" t="s">
        <v>62</v>
      </c>
    </row>
    <row r="8" spans="2:6">
      <c r="B8" s="49" t="s">
        <v>41</v>
      </c>
      <c r="C8" s="50">
        <f>DATE(CalYear,2,1)+MOD(2-WEEKDAY(DATE(CalYear,2,1)),7)+14</f>
        <v>0</v>
      </c>
      <c r="D8" s="51" t="s">
        <v>39</v>
      </c>
      <c r="F8" s="46" t="s">
        <v>63</v>
      </c>
    </row>
    <row r="9" spans="2:6">
      <c r="B9" s="49" t="s">
        <v>42</v>
      </c>
      <c r="C9" s="50">
        <f>DATE(CalYear,6,1)-1-MOD(WEEKDAY(DATE(CalYear,6,1)-1)-2,7)</f>
        <v>0</v>
      </c>
      <c r="D9" s="51" t="s">
        <v>39</v>
      </c>
      <c r="F9" s="46" t="s">
        <v>64</v>
      </c>
    </row>
    <row r="10" spans="2:6">
      <c r="B10" s="49" t="s">
        <v>43</v>
      </c>
      <c r="C10" s="50">
        <f>DATE(CalYear,6,19)</f>
        <v>0</v>
      </c>
      <c r="D10" s="51" t="s">
        <v>39</v>
      </c>
      <c r="F10" s="46" t="s">
        <v>65</v>
      </c>
    </row>
    <row r="11" spans="2:6">
      <c r="B11" s="49" t="s">
        <v>44</v>
      </c>
      <c r="C11" s="50">
        <f>DATE(CalYear,7,4)</f>
        <v>0</v>
      </c>
      <c r="D11" s="51" t="s">
        <v>39</v>
      </c>
      <c r="F11" s="46" t="s">
        <v>66</v>
      </c>
    </row>
    <row r="12" spans="2:6">
      <c r="B12" s="49" t="s">
        <v>45</v>
      </c>
      <c r="C12" s="50">
        <f>DATE(CalYear,9,1)+MOD(2-WEEKDAY(DATE(CalYear,9,1)),7)+0</f>
        <v>0</v>
      </c>
      <c r="D12" s="51" t="s">
        <v>39</v>
      </c>
    </row>
    <row r="13" spans="2:6">
      <c r="B13" s="49" t="s">
        <v>46</v>
      </c>
      <c r="C13" s="50">
        <f>DATE(CalYear,10,1)+MOD(2-WEEKDAY(DATE(CalYear,10,1)),7)+7</f>
        <v>0</v>
      </c>
      <c r="D13" s="51" t="s">
        <v>39</v>
      </c>
    </row>
    <row r="14" spans="2:6">
      <c r="B14" s="49" t="s">
        <v>47</v>
      </c>
      <c r="C14" s="50">
        <f>DATE(CalYear,11,11)</f>
        <v>0</v>
      </c>
      <c r="D14" s="51" t="s">
        <v>39</v>
      </c>
    </row>
    <row r="15" spans="2:6">
      <c r="B15" s="49" t="s">
        <v>48</v>
      </c>
      <c r="C15" s="50">
        <f>DATE(CalYear,11,1)+MOD(5-WEEKDAY(DATE(CalYear,11,1)),7)+21</f>
        <v>0</v>
      </c>
      <c r="D15" s="51" t="s">
        <v>39</v>
      </c>
    </row>
    <row r="16" spans="2:6">
      <c r="B16" s="49" t="s">
        <v>49</v>
      </c>
      <c r="C16" s="50">
        <f>DATE(CalYear,12,25)</f>
        <v>0</v>
      </c>
      <c r="D16" s="51" t="s">
        <v>39</v>
      </c>
    </row>
    <row r="17" spans="2:4">
      <c r="B17" s="49">
        <f>IF(C17="","","Juneteenth (obs.)")</f>
        <v>0</v>
      </c>
      <c r="C17" s="50">
        <f>IF(WEEKDAY(DATE(CalYear,6,19))=7,DATE(CalYear,6,19)-1,IF(WEEKDAY(DATE(CalYear,6,19))=1,DATE(CalYear,6,19)+1,""))</f>
        <v>0</v>
      </c>
      <c r="D17" s="51">
        <f>IF(C17="","","Holiday")</f>
        <v>0</v>
      </c>
    </row>
    <row r="18" spans="2:4">
      <c r="B18" s="49">
        <f>IF(C18="","","Independence Day (obs.)")</f>
        <v>0</v>
      </c>
      <c r="C18" s="50">
        <f>IF(WEEKDAY(DATE(CalYear,7,4))=7,DATE(CalYear,7,4)-1,IF(WEEKDAY(DATE(CalYear,7,4))=1,DATE(CalYear,7,4)+1,""))</f>
        <v>0</v>
      </c>
      <c r="D18" s="51">
        <f>IF(C18="","","Holiday")</f>
        <v>0</v>
      </c>
    </row>
    <row r="19" spans="2:4">
      <c r="B19" s="49">
        <f>IF(C19="","","Veterans Day (obs.)")</f>
        <v>0</v>
      </c>
      <c r="C19" s="50">
        <f>IF(WEEKDAY(DATE(CalYear,11,11))=7,DATE(CalYear,11,11)-1,IF(WEEKDAY(DATE(CalYear,11,11))=1,DATE(CalYear,11,11)+1,""))</f>
        <v>0</v>
      </c>
      <c r="D19" s="51">
        <f>IF(C19="","","Holiday")</f>
        <v>0</v>
      </c>
    </row>
    <row r="20" spans="2:4">
      <c r="B20" s="49">
        <f>IF(C20="","","Christmas Day (obs.)")</f>
        <v>0</v>
      </c>
      <c r="C20" s="50">
        <f>IF(WEEKDAY(DATE(CalYear,12,25))=7,DATE(CalYear,12,25)-1,IF(WEEKDAY(DATE(CalYear,12,25))=1,DATE(CalYear,12,25)+1,""))</f>
        <v>0</v>
      </c>
      <c r="D20" s="51">
        <f>IF(C20="","","Holiday")</f>
        <v>0</v>
      </c>
    </row>
    <row r="21" spans="2:4">
      <c r="B21" s="49">
        <f>IF(C21="","","New Year's Day (obs.)")</f>
        <v>0</v>
      </c>
      <c r="C21" s="50">
        <f>IF(WEEKDAY(DATE(CalYear+1,1,1))=7,DATE(CalYear,12,31),"")</f>
        <v>0</v>
      </c>
      <c r="D21" s="51">
        <f>IF(C21="","","Holiday")</f>
        <v>0</v>
      </c>
    </row>
    <row r="22" spans="2:4">
      <c r="B22" s="49" t="s">
        <v>50</v>
      </c>
      <c r="C22" s="50">
        <f>DATE(CalYear,2,14)</f>
        <v>0</v>
      </c>
      <c r="D22" s="51" t="s">
        <v>51</v>
      </c>
    </row>
    <row r="23" spans="2:4">
      <c r="B23" s="49" t="s">
        <v>52</v>
      </c>
      <c r="C23" s="50">
        <f>DATE(CalYear,3,1)+MOD(1-WEEKDAY(DATE(CalYear,3,1)),7)+7</f>
        <v>0</v>
      </c>
      <c r="D23" s="51" t="s">
        <v>51</v>
      </c>
    </row>
    <row r="24" spans="2:4">
      <c r="B24" s="49" t="s">
        <v>53</v>
      </c>
      <c r="C24" s="50">
        <f>DATE(CalYear,3,17)</f>
        <v>0</v>
      </c>
      <c r="D24" s="51" t="s">
        <v>51</v>
      </c>
    </row>
    <row r="25" spans="2:4">
      <c r="B25" s="49" t="s">
        <v>54</v>
      </c>
      <c r="C25" s="50">
        <f>FLOOR(DATE(CalYear,5,DAY(MINUTE(CalYear/38)/2+56)),7)-34</f>
        <v>0</v>
      </c>
      <c r="D25" s="51" t="s">
        <v>51</v>
      </c>
    </row>
    <row r="26" spans="2:4">
      <c r="B26" s="49" t="s">
        <v>55</v>
      </c>
      <c r="C26" s="50">
        <f>DATE(CalYear,5,1)+MOD(1-WEEKDAY(DATE(CalYear,5,1)),7)+7</f>
        <v>0</v>
      </c>
      <c r="D26" s="51" t="s">
        <v>51</v>
      </c>
    </row>
    <row r="27" spans="2:4">
      <c r="B27" s="49" t="s">
        <v>56</v>
      </c>
      <c r="C27" s="50">
        <f>DATE(CalYear,6,1)+MOD(1-WEEKDAY(DATE(CalYear,6,1)),7)+14</f>
        <v>0</v>
      </c>
      <c r="D27" s="51" t="s">
        <v>51</v>
      </c>
    </row>
    <row r="28" spans="2:4">
      <c r="B28" s="49" t="s">
        <v>57</v>
      </c>
      <c r="C28" s="50">
        <f>DATE(CalYear,10,31)</f>
        <v>0</v>
      </c>
      <c r="D28" s="51" t="s">
        <v>51</v>
      </c>
    </row>
    <row r="29" spans="2:4">
      <c r="B29" s="49" t="s">
        <v>58</v>
      </c>
      <c r="C29" s="50">
        <f>DATE(CalYear,11,1)+MOD(1-WEEKDAY(DATE(CalYear,11,1)),7)+0</f>
        <v>0</v>
      </c>
      <c r="D29" s="51" t="s">
        <v>51</v>
      </c>
    </row>
    <row r="30" spans="2:4">
      <c r="B30" s="49" t="s">
        <v>59</v>
      </c>
      <c r="C30" s="50">
        <f>DATE(CalYear,12,24)</f>
        <v>0</v>
      </c>
      <c r="D30" s="51" t="s">
        <v>51</v>
      </c>
    </row>
    <row r="31" spans="2:4">
      <c r="B31" s="49" t="s">
        <v>60</v>
      </c>
      <c r="C31" s="50">
        <f>DATE(CalYear,12,31)</f>
        <v>0</v>
      </c>
      <c r="D31" s="51" t="s">
        <v>51</v>
      </c>
    </row>
    <row r="32" spans="2:4">
      <c r="B32" s="49"/>
      <c r="C32" s="50"/>
      <c r="D32" s="51"/>
    </row>
    <row r="33" spans="2:4">
      <c r="B33" s="49"/>
      <c r="C33" s="50"/>
      <c r="D33" s="51"/>
    </row>
    <row r="34" spans="2:4">
      <c r="B34" s="49"/>
      <c r="C34" s="50"/>
      <c r="D34" s="51"/>
    </row>
    <row r="35" spans="2:4">
      <c r="B35" s="49"/>
      <c r="C35" s="50"/>
      <c r="D35" s="51"/>
    </row>
    <row r="36" spans="2:4">
      <c r="B36" s="49"/>
      <c r="C36" s="50"/>
      <c r="D36" s="51"/>
    </row>
    <row r="37" spans="2:4">
      <c r="B37" s="49"/>
      <c r="C37" s="50"/>
      <c r="D37" s="51"/>
    </row>
    <row r="38" spans="2:4">
      <c r="B38" s="49"/>
      <c r="C38" s="50"/>
      <c r="D38" s="51"/>
    </row>
    <row r="39" spans="2:4">
      <c r="B39" s="49"/>
      <c r="C39" s="50"/>
      <c r="D39" s="51"/>
    </row>
    <row r="40" spans="2:4">
      <c r="B40" s="49"/>
      <c r="C40" s="50"/>
      <c r="D40" s="51"/>
    </row>
    <row r="41" spans="2:4">
      <c r="B41" s="49"/>
      <c r="C41" s="50"/>
      <c r="D41" s="51"/>
    </row>
    <row r="42" spans="2:4">
      <c r="B42" s="49"/>
      <c r="C42" s="50"/>
      <c r="D42" s="51"/>
    </row>
    <row r="43" spans="2:4">
      <c r="B43" s="49"/>
      <c r="C43" s="50"/>
      <c r="D43" s="51"/>
    </row>
    <row r="44" spans="2:4">
      <c r="B44" s="49"/>
      <c r="C44" s="50"/>
      <c r="D44" s="51"/>
    </row>
    <row r="45" spans="2:4">
      <c r="B45" s="49"/>
      <c r="C45" s="50"/>
      <c r="D45" s="51"/>
    </row>
    <row r="46" spans="2:4">
      <c r="B46" s="49"/>
      <c r="C46" s="50"/>
      <c r="D46" s="51"/>
    </row>
    <row r="47" spans="2:4">
      <c r="B47" s="49"/>
      <c r="C47" s="50"/>
      <c r="D47" s="51"/>
    </row>
    <row r="48" spans="2:4">
      <c r="B48" s="49"/>
      <c r="C48" s="50"/>
      <c r="D48" s="51"/>
    </row>
    <row r="49" spans="2:4">
      <c r="B49" s="49"/>
      <c r="C49" s="50"/>
      <c r="D49" s="51"/>
    </row>
    <row r="50" spans="2:4">
      <c r="B50" s="49"/>
      <c r="C50" s="50"/>
      <c r="D50" s="51"/>
    </row>
    <row r="51" spans="2:4">
      <c r="B51" s="49"/>
      <c r="C51" s="50"/>
      <c r="D51" s="51"/>
    </row>
    <row r="52" spans="2:4">
      <c r="B52" s="49"/>
      <c r="C52" s="50"/>
      <c r="D52" s="51"/>
    </row>
    <row r="53" spans="2:4">
      <c r="B53" s="49"/>
      <c r="C53" s="50"/>
      <c r="D53" s="51"/>
    </row>
    <row r="54" spans="2:4">
      <c r="B54" s="49"/>
      <c r="C54" s="50"/>
      <c r="D54" s="51"/>
    </row>
    <row r="55" spans="2:4">
      <c r="B55" s="49"/>
      <c r="C55" s="50"/>
      <c r="D55" s="51"/>
    </row>
    <row r="56" spans="2:4">
      <c r="B56" s="49"/>
      <c r="C56" s="50"/>
      <c r="D56" s="51"/>
    </row>
    <row r="57" spans="2:4">
      <c r="B57" s="49"/>
      <c r="C57" s="50"/>
      <c r="D57" s="51"/>
    </row>
    <row r="58" spans="2:4">
      <c r="B58" s="49"/>
      <c r="C58" s="50"/>
      <c r="D58" s="51"/>
    </row>
    <row r="59" spans="2:4">
      <c r="B59" s="49"/>
      <c r="C59" s="50"/>
      <c r="D59" s="51"/>
    </row>
    <row r="60" spans="2:4">
      <c r="B60" s="49"/>
      <c r="C60" s="50"/>
      <c r="D60" s="51"/>
    </row>
  </sheetData>
  <dataValidations count="2">
    <dataValidation type="list" errorStyle="information" allowBlank="1" showInputMessage="1" showErrorMessage="1" error="Pick a type, or type your own." sqref="D6:D60">
      <formula1>"Holiday,Observance,Personal,Work,School"</formula1>
    </dataValidation>
    <dataValidation type="date" operator="greaterThan" errorStyle="warning" allowBlank="1" showInputMessage="1" showErrorMessage="1" error="Enter a date, e.g. 2027-03-14" sqref="C6:C60">
      <formula1>1</formula1>
    </dataValidation>
  </dataValidations>
  <printOptions horizontalCentered="1"/>
  <pageMargins left="0.4" right="0.4" top="0.4" bottom="0.4" header="0.3" footer="0.3"/>
  <pageSetup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15</vt:i4>
      </vt:variant>
      <vt:variant>
        <vt:lpstr>Named Ranges</vt:lpstr>
      </vt:variant>
      <vt:variant>
        <vt:i4>19</vt:i4>
      </vt:variant>
    </vt:vector>
  </HeadingPairs>
  <TitlesOfParts>
    <vt:vector size="34" baseType="lpstr">
      <vt:lpstr>Summary</vt:lpstr>
      <vt:lpstr>Jan</vt:lpstr>
      <vt:lpstr>Feb</vt:lpstr>
      <vt:lpstr>Mar</vt:lpstr>
      <vt:lpstr>Apr</vt:lpstr>
      <vt:lpstr>May</vt:lpstr>
      <vt:lpstr>Jun</vt:lpstr>
      <vt:lpstr>Jul</vt:lpstr>
      <vt:lpstr>Aug</vt:lpstr>
      <vt:lpstr>Sep</vt:lpstr>
      <vt:lpstr>Oct</vt:lpstr>
      <vt:lpstr>Nov</vt:lpstr>
      <vt:lpstr>Dec</vt:lpstr>
      <vt:lpstr>Setup</vt:lpstr>
      <vt:lpstr>Holidays</vt:lpstr>
      <vt:lpstr>CalYear</vt:lpstr>
      <vt:lpstr>CodeBucket</vt:lpstr>
      <vt:lpstr>CodeDays</vt:lpstr>
      <vt:lpstr>Codes</vt:lpstr>
      <vt:lpstr>Apr!Print_Area</vt:lpstr>
      <vt:lpstr>Aug!Print_Area</vt:lpstr>
      <vt:lpstr>Dec!Print_Area</vt:lpstr>
      <vt:lpstr>Feb!Print_Area</vt:lpstr>
      <vt:lpstr>Holidays!Print_Area</vt:lpstr>
      <vt:lpstr>Jan!Print_Area</vt:lpstr>
      <vt:lpstr>Jul!Print_Area</vt:lpstr>
      <vt:lpstr>Jun!Print_Area</vt:lpstr>
      <vt:lpstr>Mar!Print_Area</vt:lpstr>
      <vt:lpstr>May!Print_Area</vt:lpstr>
      <vt:lpstr>Nov!Print_Area</vt:lpstr>
      <vt:lpstr>Oct!Print_Area</vt:lpstr>
      <vt:lpstr>Sep!Print_Area</vt:lpstr>
      <vt:lpstr>Setup!Print_Area</vt:lpstr>
      <vt:lpstr>Summary!Print_Area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2027 Employee Vacation Tracker</dc:title>
  <dc:creator>niftyshelf.com</dc:creator>
  <dc:description>Free employee PTO and vacation tracker from niftyshelf.com</dc:description>
  <cp:lastModifiedBy>niftyshelf.com</cp:lastModifiedBy>
  <dcterms:created xsi:type="dcterms:W3CDTF">2026-10-21T22:52:37Z</dcterms:created>
  <dcterms:modified xsi:type="dcterms:W3CDTF">2026-10-21T22:52:37Z</dcterms:modified>
</cp:coreProperties>
</file>