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Year" sheetId="1" r:id="rId1"/>
    <sheet name="Jan" sheetId="2" r:id="rId2"/>
    <sheet name="Feb" sheetId="3" r:id="rId3"/>
    <sheet name="Mar" sheetId="4" r:id="rId4"/>
    <sheet name="Apr" sheetId="5" r:id="rId5"/>
    <sheet name="May" sheetId="6" r:id="rId6"/>
    <sheet name="Jun" sheetId="7" r:id="rId7"/>
    <sheet name="Jul" sheetId="8" r:id="rId8"/>
    <sheet name="Aug" sheetId="9" r:id="rId9"/>
    <sheet name="Sep" sheetId="10" r:id="rId10"/>
    <sheet name="Oct" sheetId="11" r:id="rId11"/>
    <sheet name="Nov" sheetId="12" r:id="rId12"/>
    <sheet name="Dec" sheetId="13" r:id="rId13"/>
    <sheet name="Holidays" sheetId="14" r:id="rId14"/>
  </sheets>
  <definedNames>
    <definedName name="CalYear">Year!$B$2</definedName>
    <definedName name="_xlnm.Print_Area" localSheetId="4">Apr!$A$1:$K$35</definedName>
    <definedName name="_xlnm.Print_Area" localSheetId="8">Aug!$A$1:$K$35</definedName>
    <definedName name="_xlnm.Print_Area" localSheetId="12">Dec!$A$1:$K$35</definedName>
    <definedName name="_xlnm.Print_Area" localSheetId="2">Feb!$A$1:$K$35</definedName>
    <definedName name="_xlnm.Print_Area" localSheetId="13">Holidays!$A$1:$D$60</definedName>
    <definedName name="_xlnm.Print_Area" localSheetId="1">Jan!$A$1:$K$35</definedName>
    <definedName name="_xlnm.Print_Area" localSheetId="7">Jul!$A$1:$K$35</definedName>
    <definedName name="_xlnm.Print_Area" localSheetId="6">Jun!$A$1:$K$35</definedName>
    <definedName name="_xlnm.Print_Area" localSheetId="3">Mar!$A$1:$K$35</definedName>
    <definedName name="_xlnm.Print_Area" localSheetId="5">May!$A$1:$K$35</definedName>
    <definedName name="_xlnm.Print_Area" localSheetId="11">Nov!$A$1:$K$35</definedName>
    <definedName name="_xlnm.Print_Area" localSheetId="10">Oct!$A$1:$K$35</definedName>
    <definedName name="_xlnm.Print_Area" localSheetId="9">Sep!$A$1:$K$35</definedName>
    <definedName name="_xlnm.Print_Area" localSheetId="0">Year!$A$1:$AG$35</definedName>
    <definedName name="WeekStart">Year!$AC$2</definedName>
  </definedNames>
  <calcPr calcId="124519" fullCalcOnLoad="1"/>
</workbook>
</file>

<file path=xl/sharedStrings.xml><?xml version="1.0" encoding="utf-8"?>
<sst xmlns="http://schemas.openxmlformats.org/spreadsheetml/2006/main" count="118" uniqueCount="54">
  <si>
    <t>Year at a glance</t>
  </si>
  <si>
    <t>Week starts</t>
  </si>
  <si>
    <t>Sunday</t>
  </si>
  <si>
    <t>■ Holiday   ■ Observance / your dates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</si>
  <si>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</si>
  <si>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</si>
  <si>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</si>
  <si>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</si>
  <si>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</si>
  <si>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</si>
  <si>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</si>
  <si>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</si>
  <si>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</si>
  <si>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</si>
  <si>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</si>
  <si>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</si>
  <si>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niftyshelf.com  ·  free editable calendar</t>
  </si>
  <si>
    <t>a little month of plans, notes &amp; good days</t>
  </si>
  <si>
    <t>Week notes</t>
  </si>
  <si>
    <t>niftyshelf.com</t>
  </si>
  <si>
    <t>Holidays &amp; key dates</t>
  </si>
  <si>
    <t>NAME</t>
  </si>
  <si>
    <t>DATE</t>
  </si>
  <si>
    <t>TYPE</t>
  </si>
  <si>
    <t>New Year's Day</t>
  </si>
  <si>
    <t>Holiday</t>
  </si>
  <si>
    <t>Martin Luther King Jr. Day</t>
  </si>
  <si>
    <t>Presidents' Day</t>
  </si>
  <si>
    <t>Memorial Day</t>
  </si>
  <si>
    <t>Juneteenth</t>
  </si>
  <si>
    <t>Independence Day</t>
  </si>
  <si>
    <t>Labor Day</t>
  </si>
  <si>
    <t>Columbus Day</t>
  </si>
  <si>
    <t>Veterans Day</t>
  </si>
  <si>
    <t>Thanksgiving Day</t>
  </si>
  <si>
    <t>Christmas Day</t>
  </si>
  <si>
    <t>Valentine's Day</t>
  </si>
  <si>
    <t>Observance</t>
  </si>
  <si>
    <t>Daylight Saving begins</t>
  </si>
  <si>
    <t>St. Patrick's Day</t>
  </si>
  <si>
    <t>Easter Sunday</t>
  </si>
  <si>
    <t>Mother's Day</t>
  </si>
  <si>
    <t>Father's Day</t>
  </si>
  <si>
    <t>Halloween</t>
  </si>
  <si>
    <t>Daylight Saving ends</t>
  </si>
  <si>
    <t>Christmas Eve</t>
  </si>
  <si>
    <t>New Year's Eve</t>
  </si>
  <si>
    <t>How it works</t>
  </si>
  <si>
    <t>• Type = Holiday → shaded in the accent color on every calendar.</t>
  </si>
  <si>
    <t>• Any other type (Observance, Personal, Work, School…) → shown in the softer color.</t>
  </si>
  <si>
    <t>• Rows ending in (obs.) – the observed day off – appear only when a holiday falls on a weekend.</t>
  </si>
  <si>
    <t>• Add birthdays, paydays or school breaks in the empty rows – they show up</t>
  </si>
  <si>
    <t xml:space="preserve">   on the month tabs automatically. Delete any row you don't need.</t>
  </si>
  <si>
    <t>• Change the year or week start on the Year tab.</t>
  </si>
</sst>
</file>

<file path=xl/styles.xml><?xml version="1.0" encoding="utf-8"?>
<styleSheet xmlns="http://schemas.openxmlformats.org/spreadsheetml/2006/main">
  <numFmts count="2">
    <numFmt numFmtId="164" formatCode="d"/>
    <numFmt numFmtId="165" formatCode="ddd, mmm d"/>
  </numFmts>
  <fonts count="20">
    <font>
      <sz val="11"/>
      <color theme="1"/>
      <name val="Calibri"/>
      <family val="2"/>
      <scheme val="minor"/>
    </font>
    <font>
      <i/>
      <sz val="44"/>
      <color rgb="FF4A4340"/>
      <name val="Georgia"/>
      <family val="2"/>
    </font>
    <font>
      <sz val="9"/>
      <color rgb="FF9C918A"/>
      <name val="Trebuchet MS"/>
      <family val="2"/>
    </font>
    <font>
      <b/>
      <sz val="10"/>
      <color rgb="FFC98479"/>
      <name val="Trebuchet MS"/>
      <family val="2"/>
    </font>
    <font>
      <b/>
      <sz val="9"/>
      <color rgb="FF9C918A"/>
      <name val="Trebuchet MS"/>
      <family val="2"/>
    </font>
    <font>
      <sz val="8"/>
      <color rgb="FF9C918A"/>
      <name val="Trebuchet MS"/>
      <family val="2"/>
    </font>
    <font>
      <i/>
      <sz val="12"/>
      <color rgb="FF4A4340"/>
      <name val="Georgia"/>
      <family val="2"/>
    </font>
    <font>
      <b/>
      <sz val="7"/>
      <color rgb="FF9C918A"/>
      <name val="Trebuchet MS"/>
      <family val="2"/>
    </font>
    <font>
      <sz val="9"/>
      <color rgb="FF4A4340"/>
      <name val="Trebuchet MS"/>
      <family val="2"/>
    </font>
    <font>
      <sz val="7"/>
      <color rgb="FFD8CEC6"/>
      <name val="Trebuchet MS"/>
      <family val="2"/>
    </font>
    <font>
      <i/>
      <sz val="32"/>
      <color rgb="FF4A4340"/>
      <name val="Georgia"/>
      <family val="2"/>
    </font>
    <font>
      <i/>
      <sz val="20"/>
      <color rgb="FF9C918A"/>
      <name val="Georgia"/>
      <family val="2"/>
    </font>
    <font>
      <i/>
      <sz val="9"/>
      <color rgb="FF9C918A"/>
      <name val="Trebuchet MS"/>
      <family val="2"/>
    </font>
    <font>
      <b/>
      <sz val="9"/>
      <color rgb="FF4A4340"/>
      <name val="Trebuchet MS"/>
      <family val="2"/>
    </font>
    <font>
      <b/>
      <sz val="12"/>
      <color rgb="FF4A4340"/>
      <name val="Trebuchet MS"/>
      <family val="2"/>
    </font>
    <font>
      <b/>
      <sz val="7"/>
      <color rgb="FF6F8F7A"/>
      <name val="Trebuchet MS"/>
      <family val="2"/>
    </font>
    <font>
      <i/>
      <sz val="22"/>
      <color rgb="FF4A4340"/>
      <name val="Georgia"/>
      <family val="2"/>
    </font>
    <font>
      <b/>
      <sz val="8"/>
      <color rgb="FF9C918A"/>
      <name val="Trebuchet MS"/>
      <family val="2"/>
    </font>
    <font>
      <sz val="10"/>
      <color rgb="FF4A4340"/>
      <name val="Trebuchet MS"/>
      <family val="2"/>
    </font>
    <font>
      <sz val="9"/>
      <color rgb="FF9C918A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rgb="FFDCE7D6"/>
        <bgColor indexed="64"/>
      </patternFill>
    </fill>
    <fill>
      <patternFill patternType="solid">
        <fgColor rgb="FFF6DDD8"/>
        <bgColor indexed="64"/>
      </patternFill>
    </fill>
    <fill>
      <patternFill patternType="solid">
        <fgColor rgb="FFF7EBC4"/>
        <bgColor indexed="64"/>
      </patternFill>
    </fill>
    <fill>
      <patternFill patternType="solid">
        <fgColor rgb="FFD8E3EE"/>
        <bgColor indexed="64"/>
      </patternFill>
    </fill>
    <fill>
      <patternFill patternType="solid">
        <fgColor rgb="FFE6DDEE"/>
        <bgColor indexed="64"/>
      </patternFill>
    </fill>
    <fill>
      <patternFill patternType="solid">
        <fgColor rgb="FFF7E0CC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C98479"/>
      </bottom>
      <diagonal/>
    </border>
    <border>
      <left/>
      <right/>
      <top/>
      <bottom style="thin">
        <color rgb="FFEFE6DC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E3D6C9"/>
      </left>
      <right/>
      <top style="thin">
        <color rgb="FFE3D6C9"/>
      </top>
      <bottom/>
      <diagonal/>
    </border>
    <border>
      <left style="thin">
        <color rgb="FFE3D6C9"/>
      </left>
      <right style="thin">
        <color rgb="FFE3D6C9"/>
      </right>
      <top style="thin">
        <color rgb="FFE3D6C9"/>
      </top>
      <bottom/>
      <diagonal/>
    </border>
    <border>
      <left/>
      <right/>
      <top style="thin">
        <color rgb="FFE3D6C9"/>
      </top>
      <bottom/>
      <diagonal/>
    </border>
    <border>
      <left style="thin">
        <color rgb="FFE3D6C9"/>
      </left>
      <right/>
      <top/>
      <bottom/>
      <diagonal/>
    </border>
    <border>
      <left style="thin">
        <color rgb="FFE3D6C9"/>
      </left>
      <right style="thin">
        <color rgb="FFE3D6C9"/>
      </right>
      <top/>
      <bottom/>
      <diagonal/>
    </border>
    <border>
      <left style="thin">
        <color rgb="FFE3D6C9"/>
      </left>
      <right/>
      <top/>
      <bottom style="dotted">
        <color rgb="FFEFE6DC"/>
      </bottom>
      <diagonal/>
    </border>
    <border>
      <left style="thin">
        <color rgb="FFE3D6C9"/>
      </left>
      <right style="thin">
        <color rgb="FFE3D6C9"/>
      </right>
      <top/>
      <bottom style="dotted">
        <color rgb="FFEFE6DC"/>
      </bottom>
      <diagonal/>
    </border>
    <border>
      <left/>
      <right/>
      <top/>
      <bottom style="thin">
        <color rgb="FFE3D6C9"/>
      </bottom>
      <diagonal/>
    </border>
    <border>
      <left style="thin">
        <color rgb="FFE3D6C9"/>
      </left>
      <right/>
      <top/>
      <bottom style="thin">
        <color rgb="FFE3D6C9"/>
      </bottom>
      <diagonal/>
    </border>
    <border>
      <left style="thin">
        <color rgb="FFE3D6C9"/>
      </left>
      <right style="thin">
        <color rgb="FFE3D6C9"/>
      </right>
      <top/>
      <bottom style="thin">
        <color rgb="FFE3D6C9"/>
      </bottom>
      <diagonal/>
    </border>
    <border>
      <left/>
      <right/>
      <top/>
      <bottom style="thin">
        <color rgb="FF4A4340"/>
      </bottom>
      <diagonal/>
    </border>
  </borders>
  <cellStyleXfs count="1">
    <xf numFmtId="0" fontId="0" fillId="0" borderId="0"/>
  </cellStyleXfs>
  <cellXfs count="62">
    <xf numFmtId="0" fontId="0" fillId="0" borderId="0" xfId="0"/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2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6" fillId="6" borderId="0" xfId="0" applyFont="1" applyFill="1" applyAlignment="1">
      <alignment horizontal="left" vertical="center"/>
    </xf>
    <xf numFmtId="0" fontId="6" fillId="7" borderId="0" xfId="0" applyFont="1" applyFill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10" fillId="2" borderId="0" xfId="0" applyFont="1" applyFill="1" applyAlignment="1">
      <alignment indent="1"/>
    </xf>
    <xf numFmtId="1" fontId="11" fillId="2" borderId="0" xfId="0" applyNumberFormat="1" applyFont="1" applyFill="1" applyAlignment="1">
      <alignment horizontal="right"/>
    </xf>
    <xf numFmtId="0" fontId="12" fillId="0" borderId="0" xfId="0" applyFont="1" applyAlignment="1">
      <alignment vertical="top" indent="1"/>
    </xf>
    <xf numFmtId="0" fontId="13" fillId="2" borderId="3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left" vertical="center" indent="1"/>
    </xf>
    <xf numFmtId="164" fontId="14" fillId="0" borderId="4" xfId="0" applyNumberFormat="1" applyFont="1" applyBorder="1" applyAlignment="1">
      <alignment horizontal="left" vertical="center" indent="1"/>
    </xf>
    <xf numFmtId="164" fontId="14" fillId="0" borderId="5" xfId="0" applyNumberFormat="1" applyFont="1" applyBorder="1" applyAlignment="1">
      <alignment horizontal="left" vertical="center" indent="1"/>
    </xf>
    <xf numFmtId="0" fontId="7" fillId="0" borderId="6" xfId="0" applyFont="1" applyBorder="1" applyAlignment="1">
      <alignment horizontal="left" vertical="center" indent="1"/>
    </xf>
    <xf numFmtId="0" fontId="15" fillId="0" borderId="7" xfId="0" applyFont="1" applyBorder="1" applyAlignment="1">
      <alignment horizontal="left" vertical="center" indent="1"/>
    </xf>
    <xf numFmtId="0" fontId="15" fillId="0" borderId="8" xfId="0" applyFont="1" applyBorder="1" applyAlignment="1">
      <alignment horizontal="left" vertical="center" indent="1"/>
    </xf>
    <xf numFmtId="0" fontId="8" fillId="0" borderId="0" xfId="0" applyFont="1" applyAlignment="1">
      <alignment vertical="top" indent="1" wrapText="1"/>
    </xf>
    <xf numFmtId="0" fontId="8" fillId="0" borderId="9" xfId="0" applyFont="1" applyBorder="1" applyAlignment="1">
      <alignment horizontal="left" vertical="center" indent="1"/>
    </xf>
    <xf numFmtId="0" fontId="8" fillId="0" borderId="10" xfId="0" applyFont="1" applyBorder="1" applyAlignment="1">
      <alignment horizontal="left" vertical="center" indent="1"/>
    </xf>
    <xf numFmtId="0" fontId="8" fillId="0" borderId="7" xfId="0" applyFont="1" applyBorder="1" applyAlignment="1">
      <alignment horizontal="left" vertical="center" indent="1"/>
    </xf>
    <xf numFmtId="0" fontId="8" fillId="0" borderId="8" xfId="0" applyFont="1" applyBorder="1" applyAlignment="1">
      <alignment horizontal="left" vertical="center" indent="1"/>
    </xf>
    <xf numFmtId="0" fontId="8" fillId="0" borderId="11" xfId="0" applyFont="1" applyBorder="1" applyAlignment="1">
      <alignment vertical="top" indent="1" wrapText="1"/>
    </xf>
    <xf numFmtId="0" fontId="8" fillId="0" borderId="12" xfId="0" applyFont="1" applyBorder="1" applyAlignment="1">
      <alignment horizontal="left" vertical="center" indent="1"/>
    </xf>
    <xf numFmtId="0" fontId="8" fillId="0" borderId="13" xfId="0" applyFont="1" applyBorder="1" applyAlignment="1">
      <alignment horizontal="left" vertical="center" indent="1"/>
    </xf>
    <xf numFmtId="0" fontId="9" fillId="0" borderId="0" xfId="0" applyFont="1" applyAlignment="1">
      <alignment horizontal="right"/>
    </xf>
    <xf numFmtId="0" fontId="10" fillId="3" borderId="0" xfId="0" applyFont="1" applyFill="1" applyAlignment="1">
      <alignment indent="1"/>
    </xf>
    <xf numFmtId="1" fontId="11" fillId="3" borderId="0" xfId="0" applyNumberFormat="1" applyFont="1" applyFill="1" applyAlignment="1">
      <alignment horizontal="right"/>
    </xf>
    <xf numFmtId="0" fontId="13" fillId="3" borderId="3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left" vertical="center" indent="1"/>
    </xf>
    <xf numFmtId="0" fontId="10" fillId="4" borderId="0" xfId="0" applyFont="1" applyFill="1" applyAlignment="1">
      <alignment indent="1"/>
    </xf>
    <xf numFmtId="1" fontId="11" fillId="4" borderId="0" xfId="0" applyNumberFormat="1" applyFont="1" applyFill="1" applyAlignment="1">
      <alignment horizontal="right"/>
    </xf>
    <xf numFmtId="0" fontId="13" fillId="4" borderId="3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left" vertical="center" indent="1"/>
    </xf>
    <xf numFmtId="0" fontId="10" fillId="5" borderId="0" xfId="0" applyFont="1" applyFill="1" applyAlignment="1">
      <alignment indent="1"/>
    </xf>
    <xf numFmtId="1" fontId="11" fillId="5" borderId="0" xfId="0" applyNumberFormat="1" applyFont="1" applyFill="1" applyAlignment="1">
      <alignment horizontal="right"/>
    </xf>
    <xf numFmtId="0" fontId="13" fillId="5" borderId="3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left" vertical="center" indent="1"/>
    </xf>
    <xf numFmtId="0" fontId="10" fillId="6" borderId="0" xfId="0" applyFont="1" applyFill="1" applyAlignment="1">
      <alignment indent="1"/>
    </xf>
    <xf numFmtId="1" fontId="11" fillId="6" borderId="0" xfId="0" applyNumberFormat="1" applyFont="1" applyFill="1" applyAlignment="1">
      <alignment horizontal="right"/>
    </xf>
    <xf numFmtId="0" fontId="13" fillId="6" borderId="3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left" vertical="center" indent="1"/>
    </xf>
    <xf numFmtId="0" fontId="10" fillId="7" borderId="0" xfId="0" applyFont="1" applyFill="1" applyAlignment="1">
      <alignment indent="1"/>
    </xf>
    <xf numFmtId="1" fontId="11" fillId="7" borderId="0" xfId="0" applyNumberFormat="1" applyFont="1" applyFill="1" applyAlignment="1">
      <alignment horizontal="right"/>
    </xf>
    <xf numFmtId="0" fontId="13" fillId="7" borderId="3" xfId="0" applyFont="1" applyFill="1" applyBorder="1" applyAlignment="1">
      <alignment horizontal="center" vertical="center"/>
    </xf>
    <xf numFmtId="0" fontId="13" fillId="7" borderId="0" xfId="0" applyFont="1" applyFill="1" applyAlignment="1">
      <alignment horizontal="left" vertical="center" indent="1"/>
    </xf>
    <xf numFmtId="0" fontId="16" fillId="0" borderId="0" xfId="0" applyFont="1" applyAlignment="1"/>
    <xf numFmtId="0" fontId="2" fillId="0" borderId="0" xfId="0" applyFont="1" applyAlignment="1">
      <alignment vertical="center"/>
    </xf>
    <xf numFmtId="0" fontId="17" fillId="0" borderId="14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8" fillId="0" borderId="2" xfId="0" applyFont="1" applyBorder="1" applyAlignment="1">
      <alignment vertical="center"/>
    </xf>
    <xf numFmtId="165" fontId="18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19" fillId="0" borderId="0" xfId="0" applyFont="1" applyAlignment="1">
      <alignment vertical="center"/>
    </xf>
  </cellXfs>
  <cellStyles count="1">
    <cellStyle name="Normal" xfId="0" builtinId="0"/>
  </cellStyles>
  <dxfs count="10">
    <dxf>
      <font>
        <b/>
        <color rgb="FFC98479"/>
      </font>
      <border>
        <left style="thin">
          <color rgb="FFC98479"/>
        </left>
        <right style="thin">
          <color rgb="FFC98479"/>
        </right>
        <top style="thin">
          <color rgb="FFC98479"/>
        </top>
        <bottom style="thin">
          <color rgb="FFC98479"/>
        </bottom>
        <vertical/>
        <horizontal/>
      </border>
    </dxf>
    <dxf>
      <font>
        <b/>
        <color rgb="FFFFFFFF"/>
      </font>
      <fill>
        <patternFill>
          <bgColor rgb="FFC98479"/>
        </patternFill>
      </fill>
    </dxf>
    <dxf>
      <font>
        <b/>
        <color rgb="FF6F8F7A"/>
      </font>
      <fill>
        <patternFill>
          <bgColor rgb="FFE7F0E8"/>
        </patternFill>
      </fill>
    </dxf>
    <dxf>
      <font>
        <color rgb="FF9C918A"/>
      </font>
    </dxf>
    <dxf>
      <font>
        <color rgb="FFFFFFFF"/>
      </font>
      <fill>
        <patternFill>
          <bgColor rgb="FFC98479"/>
        </patternFill>
      </fill>
    </dxf>
    <dxf>
      <font>
        <color rgb="FFD8CEC6"/>
      </font>
      <fill>
        <patternFill>
          <bgColor rgb="FFFBF5EE"/>
        </patternFill>
      </fill>
    </dxf>
    <dxf>
      <font>
        <color rgb="FFD8CEC6"/>
      </font>
    </dxf>
    <dxf>
      <font>
        <color rgb="FFC98479"/>
      </font>
      <fill>
        <patternFill>
          <bgColor rgb="FFF8E3DF"/>
        </patternFill>
      </fill>
    </dxf>
    <dxf>
      <fill>
        <patternFill>
          <bgColor rgb="FFF8E3DF"/>
        </patternFill>
      </fill>
    </dxf>
    <dxf>
      <fill>
        <patternFill>
          <bgColor rgb="FFFBF5E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6.png"/><Relationship Id="rId2" Type="http://schemas.openxmlformats.org/officeDocument/2006/relationships/image" Target="../media/image3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8.png"/><Relationship Id="rId2" Type="http://schemas.openxmlformats.org/officeDocument/2006/relationships/image" Target="../media/image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5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3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5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6.png"/><Relationship Id="rId2" Type="http://schemas.openxmlformats.org/officeDocument/2006/relationships/image" Target="../media/image3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5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image8.png"/><Relationship Id="rId2" Type="http://schemas.openxmlformats.org/officeDocument/2006/relationships/image" Target="../media/image3.pn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4</xdr:col>
      <xdr:colOff>316230</xdr:colOff>
      <xdr:row>1</xdr:row>
      <xdr:rowOff>199073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97330" cy="322898"/>
        </a:xfrm>
        <a:prstGeom prst="rect">
          <a:avLst/>
        </a:prstGeom>
      </xdr:spPr>
    </xdr:pic>
    <xdr:clientData/>
  </xdr:twoCellAnchor>
  <xdr:twoCellAnchor editAs="absolute">
    <xdr:from>
      <xdr:col>6</xdr:col>
      <xdr:colOff>0</xdr:colOff>
      <xdr:row>1</xdr:row>
      <xdr:rowOff>285750</xdr:rowOff>
    </xdr:from>
    <xdr:to>
      <xdr:col>8</xdr:col>
      <xdr:colOff>119063</xdr:colOff>
      <xdr:row>1</xdr:row>
      <xdr:rowOff>652463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47850" y="409575"/>
          <a:ext cx="785813" cy="366713"/>
        </a:xfrm>
        <a:prstGeom prst="rect">
          <a:avLst/>
        </a:prstGeom>
      </xdr:spPr>
    </xdr:pic>
    <xdr:clientData/>
  </xdr:twoCellAnchor>
  <xdr:twoCellAnchor editAs="absolute">
    <xdr:from>
      <xdr:col>23</xdr:col>
      <xdr:colOff>0</xdr:colOff>
      <xdr:row>1</xdr:row>
      <xdr:rowOff>133350</xdr:rowOff>
    </xdr:from>
    <xdr:to>
      <xdr:col>24</xdr:col>
      <xdr:colOff>123825</xdr:colOff>
      <xdr:row>1</xdr:row>
      <xdr:rowOff>590550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286625" y="257175"/>
          <a:ext cx="457200" cy="457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476250</xdr:colOff>
      <xdr:row>0</xdr:row>
      <xdr:rowOff>0</xdr:rowOff>
    </xdr:from>
    <xdr:to>
      <xdr:col>7</xdr:col>
      <xdr:colOff>792480</xdr:colOff>
      <xdr:row>1</xdr:row>
      <xdr:rowOff>227648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0"/>
          <a:ext cx="1497330" cy="322898"/>
        </a:xfrm>
        <a:prstGeom prst="rect">
          <a:avLst/>
        </a:prstGeom>
      </xdr:spPr>
    </xdr:pic>
    <xdr:clientData/>
  </xdr:twoCellAnchor>
  <xdr:twoCellAnchor editAs="absolute">
    <xdr:from>
      <xdr:col>4</xdr:col>
      <xdr:colOff>571500</xdr:colOff>
      <xdr:row>1</xdr:row>
      <xdr:rowOff>76200</xdr:rowOff>
    </xdr:from>
    <xdr:to>
      <xdr:col>4</xdr:col>
      <xdr:colOff>982980</xdr:colOff>
      <xdr:row>1</xdr:row>
      <xdr:rowOff>487680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67200" y="171450"/>
          <a:ext cx="411480" cy="4114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476250</xdr:colOff>
      <xdr:row>0</xdr:row>
      <xdr:rowOff>0</xdr:rowOff>
    </xdr:from>
    <xdr:to>
      <xdr:col>7</xdr:col>
      <xdr:colOff>789623</xdr:colOff>
      <xdr:row>1</xdr:row>
      <xdr:rowOff>201930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0"/>
          <a:ext cx="1494473" cy="297180"/>
        </a:xfrm>
        <a:prstGeom prst="rect">
          <a:avLst/>
        </a:prstGeom>
      </xdr:spPr>
    </xdr:pic>
    <xdr:clientData/>
  </xdr:twoCellAnchor>
  <xdr:twoCellAnchor editAs="absolute">
    <xdr:from>
      <xdr:col>4</xdr:col>
      <xdr:colOff>571500</xdr:colOff>
      <xdr:row>1</xdr:row>
      <xdr:rowOff>76200</xdr:rowOff>
    </xdr:from>
    <xdr:to>
      <xdr:col>4</xdr:col>
      <xdr:colOff>880110</xdr:colOff>
      <xdr:row>1</xdr:row>
      <xdr:rowOff>384810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67200" y="171450"/>
          <a:ext cx="308610" cy="30861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476250</xdr:colOff>
      <xdr:row>0</xdr:row>
      <xdr:rowOff>0</xdr:rowOff>
    </xdr:from>
    <xdr:to>
      <xdr:col>7</xdr:col>
      <xdr:colOff>792480</xdr:colOff>
      <xdr:row>1</xdr:row>
      <xdr:rowOff>227648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0"/>
          <a:ext cx="1497330" cy="322898"/>
        </a:xfrm>
        <a:prstGeom prst="rect">
          <a:avLst/>
        </a:prstGeom>
      </xdr:spPr>
    </xdr:pic>
    <xdr:clientData/>
  </xdr:twoCellAnchor>
  <xdr:twoCellAnchor editAs="absolute">
    <xdr:from>
      <xdr:col>4</xdr:col>
      <xdr:colOff>571500</xdr:colOff>
      <xdr:row>1</xdr:row>
      <xdr:rowOff>76200</xdr:rowOff>
    </xdr:from>
    <xdr:to>
      <xdr:col>4</xdr:col>
      <xdr:colOff>982980</xdr:colOff>
      <xdr:row>1</xdr:row>
      <xdr:rowOff>487680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67200" y="171450"/>
          <a:ext cx="411480" cy="4114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476250</xdr:colOff>
      <xdr:row>0</xdr:row>
      <xdr:rowOff>0</xdr:rowOff>
    </xdr:from>
    <xdr:to>
      <xdr:col>7</xdr:col>
      <xdr:colOff>789623</xdr:colOff>
      <xdr:row>1</xdr:row>
      <xdr:rowOff>201930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0"/>
          <a:ext cx="1494473" cy="297180"/>
        </a:xfrm>
        <a:prstGeom prst="rect">
          <a:avLst/>
        </a:prstGeom>
      </xdr:spPr>
    </xdr:pic>
    <xdr:clientData/>
  </xdr:twoCellAnchor>
  <xdr:twoCellAnchor editAs="absolute">
    <xdr:from>
      <xdr:col>4</xdr:col>
      <xdr:colOff>571500</xdr:colOff>
      <xdr:row>1</xdr:row>
      <xdr:rowOff>76200</xdr:rowOff>
    </xdr:from>
    <xdr:to>
      <xdr:col>4</xdr:col>
      <xdr:colOff>880110</xdr:colOff>
      <xdr:row>1</xdr:row>
      <xdr:rowOff>384810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67200" y="171450"/>
          <a:ext cx="308610" cy="3086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476250</xdr:colOff>
      <xdr:row>0</xdr:row>
      <xdr:rowOff>0</xdr:rowOff>
    </xdr:from>
    <xdr:to>
      <xdr:col>7</xdr:col>
      <xdr:colOff>792480</xdr:colOff>
      <xdr:row>1</xdr:row>
      <xdr:rowOff>227648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0"/>
          <a:ext cx="1497330" cy="322898"/>
        </a:xfrm>
        <a:prstGeom prst="rect">
          <a:avLst/>
        </a:prstGeom>
      </xdr:spPr>
    </xdr:pic>
    <xdr:clientData/>
  </xdr:twoCellAnchor>
  <xdr:twoCellAnchor editAs="absolute">
    <xdr:from>
      <xdr:col>4</xdr:col>
      <xdr:colOff>571500</xdr:colOff>
      <xdr:row>1</xdr:row>
      <xdr:rowOff>76200</xdr:rowOff>
    </xdr:from>
    <xdr:to>
      <xdr:col>4</xdr:col>
      <xdr:colOff>982980</xdr:colOff>
      <xdr:row>1</xdr:row>
      <xdr:rowOff>487680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67200" y="171450"/>
          <a:ext cx="411480" cy="4114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476250</xdr:colOff>
      <xdr:row>0</xdr:row>
      <xdr:rowOff>0</xdr:rowOff>
    </xdr:from>
    <xdr:to>
      <xdr:col>7</xdr:col>
      <xdr:colOff>789623</xdr:colOff>
      <xdr:row>1</xdr:row>
      <xdr:rowOff>201930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0"/>
          <a:ext cx="1494473" cy="297180"/>
        </a:xfrm>
        <a:prstGeom prst="rect">
          <a:avLst/>
        </a:prstGeom>
      </xdr:spPr>
    </xdr:pic>
    <xdr:clientData/>
  </xdr:twoCellAnchor>
  <xdr:twoCellAnchor editAs="absolute">
    <xdr:from>
      <xdr:col>4</xdr:col>
      <xdr:colOff>571500</xdr:colOff>
      <xdr:row>1</xdr:row>
      <xdr:rowOff>76200</xdr:rowOff>
    </xdr:from>
    <xdr:to>
      <xdr:col>4</xdr:col>
      <xdr:colOff>880110</xdr:colOff>
      <xdr:row>1</xdr:row>
      <xdr:rowOff>384810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67200" y="171450"/>
          <a:ext cx="308610" cy="30861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476250</xdr:colOff>
      <xdr:row>0</xdr:row>
      <xdr:rowOff>0</xdr:rowOff>
    </xdr:from>
    <xdr:to>
      <xdr:col>7</xdr:col>
      <xdr:colOff>792480</xdr:colOff>
      <xdr:row>1</xdr:row>
      <xdr:rowOff>227648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0"/>
          <a:ext cx="1497330" cy="322898"/>
        </a:xfrm>
        <a:prstGeom prst="rect">
          <a:avLst/>
        </a:prstGeom>
      </xdr:spPr>
    </xdr:pic>
    <xdr:clientData/>
  </xdr:twoCellAnchor>
  <xdr:twoCellAnchor editAs="absolute">
    <xdr:from>
      <xdr:col>4</xdr:col>
      <xdr:colOff>571500</xdr:colOff>
      <xdr:row>1</xdr:row>
      <xdr:rowOff>76200</xdr:rowOff>
    </xdr:from>
    <xdr:to>
      <xdr:col>4</xdr:col>
      <xdr:colOff>982980</xdr:colOff>
      <xdr:row>1</xdr:row>
      <xdr:rowOff>487680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67200" y="171450"/>
          <a:ext cx="411480" cy="41148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476250</xdr:colOff>
      <xdr:row>0</xdr:row>
      <xdr:rowOff>0</xdr:rowOff>
    </xdr:from>
    <xdr:to>
      <xdr:col>7</xdr:col>
      <xdr:colOff>789623</xdr:colOff>
      <xdr:row>1</xdr:row>
      <xdr:rowOff>201930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0"/>
          <a:ext cx="1494473" cy="297180"/>
        </a:xfrm>
        <a:prstGeom prst="rect">
          <a:avLst/>
        </a:prstGeom>
      </xdr:spPr>
    </xdr:pic>
    <xdr:clientData/>
  </xdr:twoCellAnchor>
  <xdr:twoCellAnchor editAs="absolute">
    <xdr:from>
      <xdr:col>4</xdr:col>
      <xdr:colOff>571500</xdr:colOff>
      <xdr:row>1</xdr:row>
      <xdr:rowOff>76200</xdr:rowOff>
    </xdr:from>
    <xdr:to>
      <xdr:col>4</xdr:col>
      <xdr:colOff>880110</xdr:colOff>
      <xdr:row>1</xdr:row>
      <xdr:rowOff>384810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67200" y="171450"/>
          <a:ext cx="308610" cy="30861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476250</xdr:colOff>
      <xdr:row>0</xdr:row>
      <xdr:rowOff>0</xdr:rowOff>
    </xdr:from>
    <xdr:to>
      <xdr:col>7</xdr:col>
      <xdr:colOff>792480</xdr:colOff>
      <xdr:row>1</xdr:row>
      <xdr:rowOff>227648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0"/>
          <a:ext cx="1497330" cy="322898"/>
        </a:xfrm>
        <a:prstGeom prst="rect">
          <a:avLst/>
        </a:prstGeom>
      </xdr:spPr>
    </xdr:pic>
    <xdr:clientData/>
  </xdr:twoCellAnchor>
  <xdr:twoCellAnchor editAs="absolute">
    <xdr:from>
      <xdr:col>4</xdr:col>
      <xdr:colOff>571500</xdr:colOff>
      <xdr:row>1</xdr:row>
      <xdr:rowOff>76200</xdr:rowOff>
    </xdr:from>
    <xdr:to>
      <xdr:col>4</xdr:col>
      <xdr:colOff>982980</xdr:colOff>
      <xdr:row>1</xdr:row>
      <xdr:rowOff>487680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67200" y="171450"/>
          <a:ext cx="411480" cy="41148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476250</xdr:colOff>
      <xdr:row>0</xdr:row>
      <xdr:rowOff>0</xdr:rowOff>
    </xdr:from>
    <xdr:to>
      <xdr:col>7</xdr:col>
      <xdr:colOff>789623</xdr:colOff>
      <xdr:row>1</xdr:row>
      <xdr:rowOff>201930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0"/>
          <a:ext cx="1494473" cy="297180"/>
        </a:xfrm>
        <a:prstGeom prst="rect">
          <a:avLst/>
        </a:prstGeom>
      </xdr:spPr>
    </xdr:pic>
    <xdr:clientData/>
  </xdr:twoCellAnchor>
  <xdr:twoCellAnchor editAs="absolute">
    <xdr:from>
      <xdr:col>4</xdr:col>
      <xdr:colOff>571500</xdr:colOff>
      <xdr:row>1</xdr:row>
      <xdr:rowOff>76200</xdr:rowOff>
    </xdr:from>
    <xdr:to>
      <xdr:col>4</xdr:col>
      <xdr:colOff>880110</xdr:colOff>
      <xdr:row>1</xdr:row>
      <xdr:rowOff>384810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67200" y="171450"/>
          <a:ext cx="308610" cy="30861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476250</xdr:colOff>
      <xdr:row>0</xdr:row>
      <xdr:rowOff>0</xdr:rowOff>
    </xdr:from>
    <xdr:to>
      <xdr:col>7</xdr:col>
      <xdr:colOff>792480</xdr:colOff>
      <xdr:row>1</xdr:row>
      <xdr:rowOff>227648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0"/>
          <a:ext cx="1497330" cy="322898"/>
        </a:xfrm>
        <a:prstGeom prst="rect">
          <a:avLst/>
        </a:prstGeom>
      </xdr:spPr>
    </xdr:pic>
    <xdr:clientData/>
  </xdr:twoCellAnchor>
  <xdr:twoCellAnchor editAs="absolute">
    <xdr:from>
      <xdr:col>4</xdr:col>
      <xdr:colOff>571500</xdr:colOff>
      <xdr:row>1</xdr:row>
      <xdr:rowOff>76200</xdr:rowOff>
    </xdr:from>
    <xdr:to>
      <xdr:col>4</xdr:col>
      <xdr:colOff>982980</xdr:colOff>
      <xdr:row>1</xdr:row>
      <xdr:rowOff>487680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67200" y="171450"/>
          <a:ext cx="411480" cy="41148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476250</xdr:colOff>
      <xdr:row>0</xdr:row>
      <xdr:rowOff>0</xdr:rowOff>
    </xdr:from>
    <xdr:to>
      <xdr:col>7</xdr:col>
      <xdr:colOff>789623</xdr:colOff>
      <xdr:row>1</xdr:row>
      <xdr:rowOff>201930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4150" y="0"/>
          <a:ext cx="1494473" cy="297180"/>
        </a:xfrm>
        <a:prstGeom prst="rect">
          <a:avLst/>
        </a:prstGeom>
      </xdr:spPr>
    </xdr:pic>
    <xdr:clientData/>
  </xdr:twoCellAnchor>
  <xdr:twoCellAnchor editAs="absolute">
    <xdr:from>
      <xdr:col>4</xdr:col>
      <xdr:colOff>571500</xdr:colOff>
      <xdr:row>1</xdr:row>
      <xdr:rowOff>76200</xdr:rowOff>
    </xdr:from>
    <xdr:to>
      <xdr:col>4</xdr:col>
      <xdr:colOff>880110</xdr:colOff>
      <xdr:row>1</xdr:row>
      <xdr:rowOff>384810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67200" y="171450"/>
          <a:ext cx="308610" cy="3086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35"/>
  <sheetViews>
    <sheetView showGridLines="0" tabSelected="1" workbookViewId="0"/>
  </sheetViews>
  <sheetFormatPr defaultRowHeight="15"/>
  <cols>
    <col min="1" max="1" width="2.7109375" customWidth="1"/>
    <col min="2" max="8" width="5" customWidth="1"/>
    <col min="9" max="9" width="3.28515625" customWidth="1"/>
    <col min="10" max="16" width="5" customWidth="1"/>
    <col min="17" max="17" width="3.28515625" customWidth="1"/>
    <col min="18" max="24" width="5" customWidth="1"/>
    <col min="25" max="25" width="3.28515625" customWidth="1"/>
    <col min="26" max="32" width="5" customWidth="1"/>
    <col min="33" max="33" width="2.7109375" customWidth="1"/>
  </cols>
  <sheetData>
    <row r="1" spans="2:32" ht="10" customHeight="1"/>
    <row r="2" spans="2:32" ht="52" customHeight="1">
      <c r="B2" s="1">
        <v>2027</v>
      </c>
      <c r="C2" s="1"/>
      <c r="D2" s="1"/>
      <c r="E2" s="1"/>
      <c r="F2" s="1"/>
      <c r="G2" s="1"/>
      <c r="H2" s="1"/>
      <c r="I2" s="1"/>
      <c r="J2" s="1"/>
      <c r="Z2" s="2" t="s">
        <v>1</v>
      </c>
      <c r="AA2" s="2"/>
      <c r="AB2" s="2"/>
      <c r="AC2" s="3" t="s">
        <v>2</v>
      </c>
      <c r="AD2" s="3"/>
      <c r="AE2" s="3"/>
      <c r="AF2" s="3"/>
    </row>
    <row r="3" spans="2:32" ht="20" customHeight="1">
      <c r="B3" s="4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Z3" s="5" t="s">
        <v>3</v>
      </c>
      <c r="AA3" s="5"/>
      <c r="AB3" s="5"/>
      <c r="AC3" s="5"/>
      <c r="AD3" s="5"/>
      <c r="AE3" s="5"/>
      <c r="AF3" s="5"/>
    </row>
    <row r="4" spans="2:32" ht="14" customHeight="1"/>
    <row r="5" spans="2:32" ht="22" customHeight="1">
      <c r="B5" s="6" t="s">
        <v>4</v>
      </c>
      <c r="C5" s="6"/>
      <c r="D5" s="6"/>
      <c r="E5" s="6"/>
      <c r="F5" s="6"/>
      <c r="G5" s="6"/>
      <c r="H5" s="6"/>
      <c r="J5" s="7" t="s">
        <v>5</v>
      </c>
      <c r="K5" s="7"/>
      <c r="L5" s="7"/>
      <c r="M5" s="7"/>
      <c r="N5" s="7"/>
      <c r="O5" s="7"/>
      <c r="P5" s="7"/>
      <c r="R5" s="8" t="s">
        <v>6</v>
      </c>
      <c r="S5" s="8"/>
      <c r="T5" s="8"/>
      <c r="U5" s="8"/>
      <c r="V5" s="8"/>
      <c r="W5" s="8"/>
      <c r="X5" s="8"/>
      <c r="Z5" s="9" t="s">
        <v>7</v>
      </c>
      <c r="AA5" s="9"/>
      <c r="AB5" s="9"/>
      <c r="AC5" s="9"/>
      <c r="AD5" s="9"/>
      <c r="AE5" s="9"/>
      <c r="AF5" s="9"/>
    </row>
    <row r="6" spans="2:32">
      <c r="B6" s="10">
        <f>IF(WeekStart="Monday",CHOOSE(1,"M","T","W","T","F","S","S"),CHOOSE(1,"S","M","T","W","T","F","S"))</f>
        <v>0</v>
      </c>
      <c r="C6" s="10">
        <f>IF(WeekStart="Monday",CHOOSE(2,"M","T","W","T","F","S","S"),CHOOSE(2,"S","M","T","W","T","F","S"))</f>
        <v>0</v>
      </c>
      <c r="D6" s="10">
        <f>IF(WeekStart="Monday",CHOOSE(3,"M","T","W","T","F","S","S"),CHOOSE(3,"S","M","T","W","T","F","S"))</f>
        <v>0</v>
      </c>
      <c r="E6" s="10">
        <f>IF(WeekStart="Monday",CHOOSE(4,"M","T","W","T","F","S","S"),CHOOSE(4,"S","M","T","W","T","F","S"))</f>
        <v>0</v>
      </c>
      <c r="F6" s="10">
        <f>IF(WeekStart="Monday",CHOOSE(5,"M","T","W","T","F","S","S"),CHOOSE(5,"S","M","T","W","T","F","S"))</f>
        <v>0</v>
      </c>
      <c r="G6" s="10">
        <f>IF(WeekStart="Monday",CHOOSE(6,"M","T","W","T","F","S","S"),CHOOSE(6,"S","M","T","W","T","F","S"))</f>
        <v>0</v>
      </c>
      <c r="H6" s="10">
        <f>IF(WeekStart="Monday",CHOOSE(7,"M","T","W","T","F","S","S"),CHOOSE(7,"S","M","T","W","T","F","S"))</f>
        <v>0</v>
      </c>
      <c r="J6" s="10">
        <f>IF(WeekStart="Monday",CHOOSE(1,"M","T","W","T","F","S","S"),CHOOSE(1,"S","M","T","W","T","F","S"))</f>
        <v>0</v>
      </c>
      <c r="K6" s="10">
        <f>IF(WeekStart="Monday",CHOOSE(2,"M","T","W","T","F","S","S"),CHOOSE(2,"S","M","T","W","T","F","S"))</f>
        <v>0</v>
      </c>
      <c r="L6" s="10">
        <f>IF(WeekStart="Monday",CHOOSE(3,"M","T","W","T","F","S","S"),CHOOSE(3,"S","M","T","W","T","F","S"))</f>
        <v>0</v>
      </c>
      <c r="M6" s="10">
        <f>IF(WeekStart="Monday",CHOOSE(4,"M","T","W","T","F","S","S"),CHOOSE(4,"S","M","T","W","T","F","S"))</f>
        <v>0</v>
      </c>
      <c r="N6" s="10">
        <f>IF(WeekStart="Monday",CHOOSE(5,"M","T","W","T","F","S","S"),CHOOSE(5,"S","M","T","W","T","F","S"))</f>
        <v>0</v>
      </c>
      <c r="O6" s="10">
        <f>IF(WeekStart="Monday",CHOOSE(6,"M","T","W","T","F","S","S"),CHOOSE(6,"S","M","T","W","T","F","S"))</f>
        <v>0</v>
      </c>
      <c r="P6" s="10">
        <f>IF(WeekStart="Monday",CHOOSE(7,"M","T","W","T","F","S","S"),CHOOSE(7,"S","M","T","W","T","F","S"))</f>
        <v>0</v>
      </c>
      <c r="R6" s="10">
        <f>IF(WeekStart="Monday",CHOOSE(1,"M","T","W","T","F","S","S"),CHOOSE(1,"S","M","T","W","T","F","S"))</f>
        <v>0</v>
      </c>
      <c r="S6" s="10">
        <f>IF(WeekStart="Monday",CHOOSE(2,"M","T","W","T","F","S","S"),CHOOSE(2,"S","M","T","W","T","F","S"))</f>
        <v>0</v>
      </c>
      <c r="T6" s="10">
        <f>IF(WeekStart="Monday",CHOOSE(3,"M","T","W","T","F","S","S"),CHOOSE(3,"S","M","T","W","T","F","S"))</f>
        <v>0</v>
      </c>
      <c r="U6" s="10">
        <f>IF(WeekStart="Monday",CHOOSE(4,"M","T","W","T","F","S","S"),CHOOSE(4,"S","M","T","W","T","F","S"))</f>
        <v>0</v>
      </c>
      <c r="V6" s="10">
        <f>IF(WeekStart="Monday",CHOOSE(5,"M","T","W","T","F","S","S"),CHOOSE(5,"S","M","T","W","T","F","S"))</f>
        <v>0</v>
      </c>
      <c r="W6" s="10">
        <f>IF(WeekStart="Monday",CHOOSE(6,"M","T","W","T","F","S","S"),CHOOSE(6,"S","M","T","W","T","F","S"))</f>
        <v>0</v>
      </c>
      <c r="X6" s="10">
        <f>IF(WeekStart="Monday",CHOOSE(7,"M","T","W","T","F","S","S"),CHOOSE(7,"S","M","T","W","T","F","S"))</f>
        <v>0</v>
      </c>
      <c r="Z6" s="10">
        <f>IF(WeekStart="Monday",CHOOSE(1,"M","T","W","T","F","S","S"),CHOOSE(1,"S","M","T","W","T","F","S"))</f>
        <v>0</v>
      </c>
      <c r="AA6" s="10">
        <f>IF(WeekStart="Monday",CHOOSE(2,"M","T","W","T","F","S","S"),CHOOSE(2,"S","M","T","W","T","F","S"))</f>
        <v>0</v>
      </c>
      <c r="AB6" s="10">
        <f>IF(WeekStart="Monday",CHOOSE(3,"M","T","W","T","F","S","S"),CHOOSE(3,"S","M","T","W","T","F","S"))</f>
        <v>0</v>
      </c>
      <c r="AC6" s="10">
        <f>IF(WeekStart="Monday",CHOOSE(4,"M","T","W","T","F","S","S"),CHOOSE(4,"S","M","T","W","T","F","S"))</f>
        <v>0</v>
      </c>
      <c r="AD6" s="10">
        <f>IF(WeekStart="Monday",CHOOSE(5,"M","T","W","T","F","S","S"),CHOOSE(5,"S","M","T","W","T","F","S"))</f>
        <v>0</v>
      </c>
      <c r="AE6" s="10">
        <f>IF(WeekStart="Monday",CHOOSE(6,"M","T","W","T","F","S","S"),CHOOSE(6,"S","M","T","W","T","F","S"))</f>
        <v>0</v>
      </c>
      <c r="AF6" s="10">
        <f>IF(WeekStart="Monday",CHOOSE(7,"M","T","W","T","F","S","S"),CHOOSE(7,"S","M","T","W","T","F","S"))</f>
        <v>0</v>
      </c>
    </row>
    <row r="7" spans="2:32">
      <c r="B7" s="11">
        <f>IF(MONTH(DATE(CalYear,1,1)-WEEKDAY(DATE(CalYear,1,1),IF(WeekStart="Monday",2,1))+1+0)=1,DATE(CalYear,1,1)-WEEKDAY(DATE(CalYear,1,1),IF(WeekStart="Monday",2,1))+1+0,"")</f>
        <v>0</v>
      </c>
      <c r="C7" s="11">
        <f>IF(MONTH(DATE(CalYear,1,1)-WEEKDAY(DATE(CalYear,1,1),IF(WeekStart="Monday",2,1))+1+1)=1,DATE(CalYear,1,1)-WEEKDAY(DATE(CalYear,1,1),IF(WeekStart="Monday",2,1))+1+1,"")</f>
        <v>0</v>
      </c>
      <c r="D7" s="11">
        <f>IF(MONTH(DATE(CalYear,1,1)-WEEKDAY(DATE(CalYear,1,1),IF(WeekStart="Monday",2,1))+1+2)=1,DATE(CalYear,1,1)-WEEKDAY(DATE(CalYear,1,1),IF(WeekStart="Monday",2,1))+1+2,"")</f>
        <v>0</v>
      </c>
      <c r="E7" s="11">
        <f>IF(MONTH(DATE(CalYear,1,1)-WEEKDAY(DATE(CalYear,1,1),IF(WeekStart="Monday",2,1))+1+3)=1,DATE(CalYear,1,1)-WEEKDAY(DATE(CalYear,1,1),IF(WeekStart="Monday",2,1))+1+3,"")</f>
        <v>0</v>
      </c>
      <c r="F7" s="11">
        <f>IF(MONTH(DATE(CalYear,1,1)-WEEKDAY(DATE(CalYear,1,1),IF(WeekStart="Monday",2,1))+1+4)=1,DATE(CalYear,1,1)-WEEKDAY(DATE(CalYear,1,1),IF(WeekStart="Monday",2,1))+1+4,"")</f>
        <v>0</v>
      </c>
      <c r="G7" s="11">
        <f>IF(MONTH(DATE(CalYear,1,1)-WEEKDAY(DATE(CalYear,1,1),IF(WeekStart="Monday",2,1))+1+5)=1,DATE(CalYear,1,1)-WEEKDAY(DATE(CalYear,1,1),IF(WeekStart="Monday",2,1))+1+5,"")</f>
        <v>0</v>
      </c>
      <c r="H7" s="11">
        <f>IF(MONTH(DATE(CalYear,1,1)-WEEKDAY(DATE(CalYear,1,1),IF(WeekStart="Monday",2,1))+1+6)=1,DATE(CalYear,1,1)-WEEKDAY(DATE(CalYear,1,1),IF(WeekStart="Monday",2,1))+1+6,"")</f>
        <v>0</v>
      </c>
      <c r="J7" s="11">
        <f>IF(MONTH(DATE(CalYear,2,1)-WEEKDAY(DATE(CalYear,2,1),IF(WeekStart="Monday",2,1))+1+0)=2,DATE(CalYear,2,1)-WEEKDAY(DATE(CalYear,2,1),IF(WeekStart="Monday",2,1))+1+0,"")</f>
        <v>0</v>
      </c>
      <c r="K7" s="11">
        <f>IF(MONTH(DATE(CalYear,2,1)-WEEKDAY(DATE(CalYear,2,1),IF(WeekStart="Monday",2,1))+1+1)=2,DATE(CalYear,2,1)-WEEKDAY(DATE(CalYear,2,1),IF(WeekStart="Monday",2,1))+1+1,"")</f>
        <v>0</v>
      </c>
      <c r="L7" s="11">
        <f>IF(MONTH(DATE(CalYear,2,1)-WEEKDAY(DATE(CalYear,2,1),IF(WeekStart="Monday",2,1))+1+2)=2,DATE(CalYear,2,1)-WEEKDAY(DATE(CalYear,2,1),IF(WeekStart="Monday",2,1))+1+2,"")</f>
        <v>0</v>
      </c>
      <c r="M7" s="11">
        <f>IF(MONTH(DATE(CalYear,2,1)-WEEKDAY(DATE(CalYear,2,1),IF(WeekStart="Monday",2,1))+1+3)=2,DATE(CalYear,2,1)-WEEKDAY(DATE(CalYear,2,1),IF(WeekStart="Monday",2,1))+1+3,"")</f>
        <v>0</v>
      </c>
      <c r="N7" s="11">
        <f>IF(MONTH(DATE(CalYear,2,1)-WEEKDAY(DATE(CalYear,2,1),IF(WeekStart="Monday",2,1))+1+4)=2,DATE(CalYear,2,1)-WEEKDAY(DATE(CalYear,2,1),IF(WeekStart="Monday",2,1))+1+4,"")</f>
        <v>0</v>
      </c>
      <c r="O7" s="11">
        <f>IF(MONTH(DATE(CalYear,2,1)-WEEKDAY(DATE(CalYear,2,1),IF(WeekStart="Monday",2,1))+1+5)=2,DATE(CalYear,2,1)-WEEKDAY(DATE(CalYear,2,1),IF(WeekStart="Monday",2,1))+1+5,"")</f>
        <v>0</v>
      </c>
      <c r="P7" s="11">
        <f>IF(MONTH(DATE(CalYear,2,1)-WEEKDAY(DATE(CalYear,2,1),IF(WeekStart="Monday",2,1))+1+6)=2,DATE(CalYear,2,1)-WEEKDAY(DATE(CalYear,2,1),IF(WeekStart="Monday",2,1))+1+6,"")</f>
        <v>0</v>
      </c>
      <c r="R7" s="11">
        <f>IF(MONTH(DATE(CalYear,3,1)-WEEKDAY(DATE(CalYear,3,1),IF(WeekStart="Monday",2,1))+1+0)=3,DATE(CalYear,3,1)-WEEKDAY(DATE(CalYear,3,1),IF(WeekStart="Monday",2,1))+1+0,"")</f>
        <v>0</v>
      </c>
      <c r="S7" s="11">
        <f>IF(MONTH(DATE(CalYear,3,1)-WEEKDAY(DATE(CalYear,3,1),IF(WeekStart="Monday",2,1))+1+1)=3,DATE(CalYear,3,1)-WEEKDAY(DATE(CalYear,3,1),IF(WeekStart="Monday",2,1))+1+1,"")</f>
        <v>0</v>
      </c>
      <c r="T7" s="11">
        <f>IF(MONTH(DATE(CalYear,3,1)-WEEKDAY(DATE(CalYear,3,1),IF(WeekStart="Monday",2,1))+1+2)=3,DATE(CalYear,3,1)-WEEKDAY(DATE(CalYear,3,1),IF(WeekStart="Monday",2,1))+1+2,"")</f>
        <v>0</v>
      </c>
      <c r="U7" s="11">
        <f>IF(MONTH(DATE(CalYear,3,1)-WEEKDAY(DATE(CalYear,3,1),IF(WeekStart="Monday",2,1))+1+3)=3,DATE(CalYear,3,1)-WEEKDAY(DATE(CalYear,3,1),IF(WeekStart="Monday",2,1))+1+3,"")</f>
        <v>0</v>
      </c>
      <c r="V7" s="11">
        <f>IF(MONTH(DATE(CalYear,3,1)-WEEKDAY(DATE(CalYear,3,1),IF(WeekStart="Monday",2,1))+1+4)=3,DATE(CalYear,3,1)-WEEKDAY(DATE(CalYear,3,1),IF(WeekStart="Monday",2,1))+1+4,"")</f>
        <v>0</v>
      </c>
      <c r="W7" s="11">
        <f>IF(MONTH(DATE(CalYear,3,1)-WEEKDAY(DATE(CalYear,3,1),IF(WeekStart="Monday",2,1))+1+5)=3,DATE(CalYear,3,1)-WEEKDAY(DATE(CalYear,3,1),IF(WeekStart="Monday",2,1))+1+5,"")</f>
        <v>0</v>
      </c>
      <c r="X7" s="11">
        <f>IF(MONTH(DATE(CalYear,3,1)-WEEKDAY(DATE(CalYear,3,1),IF(WeekStart="Monday",2,1))+1+6)=3,DATE(CalYear,3,1)-WEEKDAY(DATE(CalYear,3,1),IF(WeekStart="Monday",2,1))+1+6,"")</f>
        <v>0</v>
      </c>
      <c r="Z7" s="11">
        <f>IF(MONTH(DATE(CalYear,4,1)-WEEKDAY(DATE(CalYear,4,1),IF(WeekStart="Monday",2,1))+1+0)=4,DATE(CalYear,4,1)-WEEKDAY(DATE(CalYear,4,1),IF(WeekStart="Monday",2,1))+1+0,"")</f>
        <v>0</v>
      </c>
      <c r="AA7" s="11">
        <f>IF(MONTH(DATE(CalYear,4,1)-WEEKDAY(DATE(CalYear,4,1),IF(WeekStart="Monday",2,1))+1+1)=4,DATE(CalYear,4,1)-WEEKDAY(DATE(CalYear,4,1),IF(WeekStart="Monday",2,1))+1+1,"")</f>
        <v>0</v>
      </c>
      <c r="AB7" s="11">
        <f>IF(MONTH(DATE(CalYear,4,1)-WEEKDAY(DATE(CalYear,4,1),IF(WeekStart="Monday",2,1))+1+2)=4,DATE(CalYear,4,1)-WEEKDAY(DATE(CalYear,4,1),IF(WeekStart="Monday",2,1))+1+2,"")</f>
        <v>0</v>
      </c>
      <c r="AC7" s="11">
        <f>IF(MONTH(DATE(CalYear,4,1)-WEEKDAY(DATE(CalYear,4,1),IF(WeekStart="Monday",2,1))+1+3)=4,DATE(CalYear,4,1)-WEEKDAY(DATE(CalYear,4,1),IF(WeekStart="Monday",2,1))+1+3,"")</f>
        <v>0</v>
      </c>
      <c r="AD7" s="11">
        <f>IF(MONTH(DATE(CalYear,4,1)-WEEKDAY(DATE(CalYear,4,1),IF(WeekStart="Monday",2,1))+1+4)=4,DATE(CalYear,4,1)-WEEKDAY(DATE(CalYear,4,1),IF(WeekStart="Monday",2,1))+1+4,"")</f>
        <v>0</v>
      </c>
      <c r="AE7" s="11">
        <f>IF(MONTH(DATE(CalYear,4,1)-WEEKDAY(DATE(CalYear,4,1),IF(WeekStart="Monday",2,1))+1+5)=4,DATE(CalYear,4,1)-WEEKDAY(DATE(CalYear,4,1),IF(WeekStart="Monday",2,1))+1+5,"")</f>
        <v>0</v>
      </c>
      <c r="AF7" s="11">
        <f>IF(MONTH(DATE(CalYear,4,1)-WEEKDAY(DATE(CalYear,4,1),IF(WeekStart="Monday",2,1))+1+6)=4,DATE(CalYear,4,1)-WEEKDAY(DATE(CalYear,4,1),IF(WeekStart="Monday",2,1))+1+6,"")</f>
        <v>0</v>
      </c>
    </row>
    <row r="8" spans="2:32">
      <c r="B8" s="11">
        <f>IF(MONTH(DATE(CalYear,1,1)-WEEKDAY(DATE(CalYear,1,1),IF(WeekStart="Monday",2,1))+1+7)=1,DATE(CalYear,1,1)-WEEKDAY(DATE(CalYear,1,1),IF(WeekStart="Monday",2,1))+1+7,"")</f>
        <v>0</v>
      </c>
      <c r="C8" s="11">
        <f>IF(MONTH(DATE(CalYear,1,1)-WEEKDAY(DATE(CalYear,1,1),IF(WeekStart="Monday",2,1))+1+8)=1,DATE(CalYear,1,1)-WEEKDAY(DATE(CalYear,1,1),IF(WeekStart="Monday",2,1))+1+8,"")</f>
        <v>0</v>
      </c>
      <c r="D8" s="11">
        <f>IF(MONTH(DATE(CalYear,1,1)-WEEKDAY(DATE(CalYear,1,1),IF(WeekStart="Monday",2,1))+1+9)=1,DATE(CalYear,1,1)-WEEKDAY(DATE(CalYear,1,1),IF(WeekStart="Monday",2,1))+1+9,"")</f>
        <v>0</v>
      </c>
      <c r="E8" s="11">
        <f>IF(MONTH(DATE(CalYear,1,1)-WEEKDAY(DATE(CalYear,1,1),IF(WeekStart="Monday",2,1))+1+10)=1,DATE(CalYear,1,1)-WEEKDAY(DATE(CalYear,1,1),IF(WeekStart="Monday",2,1))+1+10,"")</f>
        <v>0</v>
      </c>
      <c r="F8" s="11">
        <f>IF(MONTH(DATE(CalYear,1,1)-WEEKDAY(DATE(CalYear,1,1),IF(WeekStart="Monday",2,1))+1+11)=1,DATE(CalYear,1,1)-WEEKDAY(DATE(CalYear,1,1),IF(WeekStart="Monday",2,1))+1+11,"")</f>
        <v>0</v>
      </c>
      <c r="G8" s="11">
        <f>IF(MONTH(DATE(CalYear,1,1)-WEEKDAY(DATE(CalYear,1,1),IF(WeekStart="Monday",2,1))+1+12)=1,DATE(CalYear,1,1)-WEEKDAY(DATE(CalYear,1,1),IF(WeekStart="Monday",2,1))+1+12,"")</f>
        <v>0</v>
      </c>
      <c r="H8" s="11">
        <f>IF(MONTH(DATE(CalYear,1,1)-WEEKDAY(DATE(CalYear,1,1),IF(WeekStart="Monday",2,1))+1+13)=1,DATE(CalYear,1,1)-WEEKDAY(DATE(CalYear,1,1),IF(WeekStart="Monday",2,1))+1+13,"")</f>
        <v>0</v>
      </c>
      <c r="J8" s="11">
        <f>IF(MONTH(DATE(CalYear,2,1)-WEEKDAY(DATE(CalYear,2,1),IF(WeekStart="Monday",2,1))+1+7)=2,DATE(CalYear,2,1)-WEEKDAY(DATE(CalYear,2,1),IF(WeekStart="Monday",2,1))+1+7,"")</f>
        <v>0</v>
      </c>
      <c r="K8" s="11">
        <f>IF(MONTH(DATE(CalYear,2,1)-WEEKDAY(DATE(CalYear,2,1),IF(WeekStart="Monday",2,1))+1+8)=2,DATE(CalYear,2,1)-WEEKDAY(DATE(CalYear,2,1),IF(WeekStart="Monday",2,1))+1+8,"")</f>
        <v>0</v>
      </c>
      <c r="L8" s="11">
        <f>IF(MONTH(DATE(CalYear,2,1)-WEEKDAY(DATE(CalYear,2,1),IF(WeekStart="Monday",2,1))+1+9)=2,DATE(CalYear,2,1)-WEEKDAY(DATE(CalYear,2,1),IF(WeekStart="Monday",2,1))+1+9,"")</f>
        <v>0</v>
      </c>
      <c r="M8" s="11">
        <f>IF(MONTH(DATE(CalYear,2,1)-WEEKDAY(DATE(CalYear,2,1),IF(WeekStart="Monday",2,1))+1+10)=2,DATE(CalYear,2,1)-WEEKDAY(DATE(CalYear,2,1),IF(WeekStart="Monday",2,1))+1+10,"")</f>
        <v>0</v>
      </c>
      <c r="N8" s="11">
        <f>IF(MONTH(DATE(CalYear,2,1)-WEEKDAY(DATE(CalYear,2,1),IF(WeekStart="Monday",2,1))+1+11)=2,DATE(CalYear,2,1)-WEEKDAY(DATE(CalYear,2,1),IF(WeekStart="Monday",2,1))+1+11,"")</f>
        <v>0</v>
      </c>
      <c r="O8" s="11">
        <f>IF(MONTH(DATE(CalYear,2,1)-WEEKDAY(DATE(CalYear,2,1),IF(WeekStart="Monday",2,1))+1+12)=2,DATE(CalYear,2,1)-WEEKDAY(DATE(CalYear,2,1),IF(WeekStart="Monday",2,1))+1+12,"")</f>
        <v>0</v>
      </c>
      <c r="P8" s="11">
        <f>IF(MONTH(DATE(CalYear,2,1)-WEEKDAY(DATE(CalYear,2,1),IF(WeekStart="Monday",2,1))+1+13)=2,DATE(CalYear,2,1)-WEEKDAY(DATE(CalYear,2,1),IF(WeekStart="Monday",2,1))+1+13,"")</f>
        <v>0</v>
      </c>
      <c r="R8" s="11">
        <f>IF(MONTH(DATE(CalYear,3,1)-WEEKDAY(DATE(CalYear,3,1),IF(WeekStart="Monday",2,1))+1+7)=3,DATE(CalYear,3,1)-WEEKDAY(DATE(CalYear,3,1),IF(WeekStart="Monday",2,1))+1+7,"")</f>
        <v>0</v>
      </c>
      <c r="S8" s="11">
        <f>IF(MONTH(DATE(CalYear,3,1)-WEEKDAY(DATE(CalYear,3,1),IF(WeekStart="Monday",2,1))+1+8)=3,DATE(CalYear,3,1)-WEEKDAY(DATE(CalYear,3,1),IF(WeekStart="Monday",2,1))+1+8,"")</f>
        <v>0</v>
      </c>
      <c r="T8" s="11">
        <f>IF(MONTH(DATE(CalYear,3,1)-WEEKDAY(DATE(CalYear,3,1),IF(WeekStart="Monday",2,1))+1+9)=3,DATE(CalYear,3,1)-WEEKDAY(DATE(CalYear,3,1),IF(WeekStart="Monday",2,1))+1+9,"")</f>
        <v>0</v>
      </c>
      <c r="U8" s="11">
        <f>IF(MONTH(DATE(CalYear,3,1)-WEEKDAY(DATE(CalYear,3,1),IF(WeekStart="Monday",2,1))+1+10)=3,DATE(CalYear,3,1)-WEEKDAY(DATE(CalYear,3,1),IF(WeekStart="Monday",2,1))+1+10,"")</f>
        <v>0</v>
      </c>
      <c r="V8" s="11">
        <f>IF(MONTH(DATE(CalYear,3,1)-WEEKDAY(DATE(CalYear,3,1),IF(WeekStart="Monday",2,1))+1+11)=3,DATE(CalYear,3,1)-WEEKDAY(DATE(CalYear,3,1),IF(WeekStart="Monday",2,1))+1+11,"")</f>
        <v>0</v>
      </c>
      <c r="W8" s="11">
        <f>IF(MONTH(DATE(CalYear,3,1)-WEEKDAY(DATE(CalYear,3,1),IF(WeekStart="Monday",2,1))+1+12)=3,DATE(CalYear,3,1)-WEEKDAY(DATE(CalYear,3,1),IF(WeekStart="Monday",2,1))+1+12,"")</f>
        <v>0</v>
      </c>
      <c r="X8" s="11">
        <f>IF(MONTH(DATE(CalYear,3,1)-WEEKDAY(DATE(CalYear,3,1),IF(WeekStart="Monday",2,1))+1+13)=3,DATE(CalYear,3,1)-WEEKDAY(DATE(CalYear,3,1),IF(WeekStart="Monday",2,1))+1+13,"")</f>
        <v>0</v>
      </c>
      <c r="Z8" s="11">
        <f>IF(MONTH(DATE(CalYear,4,1)-WEEKDAY(DATE(CalYear,4,1),IF(WeekStart="Monday",2,1))+1+7)=4,DATE(CalYear,4,1)-WEEKDAY(DATE(CalYear,4,1),IF(WeekStart="Monday",2,1))+1+7,"")</f>
        <v>0</v>
      </c>
      <c r="AA8" s="11">
        <f>IF(MONTH(DATE(CalYear,4,1)-WEEKDAY(DATE(CalYear,4,1),IF(WeekStart="Monday",2,1))+1+8)=4,DATE(CalYear,4,1)-WEEKDAY(DATE(CalYear,4,1),IF(WeekStart="Monday",2,1))+1+8,"")</f>
        <v>0</v>
      </c>
      <c r="AB8" s="11">
        <f>IF(MONTH(DATE(CalYear,4,1)-WEEKDAY(DATE(CalYear,4,1),IF(WeekStart="Monday",2,1))+1+9)=4,DATE(CalYear,4,1)-WEEKDAY(DATE(CalYear,4,1),IF(WeekStart="Monday",2,1))+1+9,"")</f>
        <v>0</v>
      </c>
      <c r="AC8" s="11">
        <f>IF(MONTH(DATE(CalYear,4,1)-WEEKDAY(DATE(CalYear,4,1),IF(WeekStart="Monday",2,1))+1+10)=4,DATE(CalYear,4,1)-WEEKDAY(DATE(CalYear,4,1),IF(WeekStart="Monday",2,1))+1+10,"")</f>
        <v>0</v>
      </c>
      <c r="AD8" s="11">
        <f>IF(MONTH(DATE(CalYear,4,1)-WEEKDAY(DATE(CalYear,4,1),IF(WeekStart="Monday",2,1))+1+11)=4,DATE(CalYear,4,1)-WEEKDAY(DATE(CalYear,4,1),IF(WeekStart="Monday",2,1))+1+11,"")</f>
        <v>0</v>
      </c>
      <c r="AE8" s="11">
        <f>IF(MONTH(DATE(CalYear,4,1)-WEEKDAY(DATE(CalYear,4,1),IF(WeekStart="Monday",2,1))+1+12)=4,DATE(CalYear,4,1)-WEEKDAY(DATE(CalYear,4,1),IF(WeekStart="Monday",2,1))+1+12,"")</f>
        <v>0</v>
      </c>
      <c r="AF8" s="11">
        <f>IF(MONTH(DATE(CalYear,4,1)-WEEKDAY(DATE(CalYear,4,1),IF(WeekStart="Monday",2,1))+1+13)=4,DATE(CalYear,4,1)-WEEKDAY(DATE(CalYear,4,1),IF(WeekStart="Monday",2,1))+1+13,"")</f>
        <v>0</v>
      </c>
    </row>
    <row r="9" spans="2:32">
      <c r="B9" s="11">
        <f>IF(MONTH(DATE(CalYear,1,1)-WEEKDAY(DATE(CalYear,1,1),IF(WeekStart="Monday",2,1))+1+14)=1,DATE(CalYear,1,1)-WEEKDAY(DATE(CalYear,1,1),IF(WeekStart="Monday",2,1))+1+14,"")</f>
        <v>0</v>
      </c>
      <c r="C9" s="11">
        <f>IF(MONTH(DATE(CalYear,1,1)-WEEKDAY(DATE(CalYear,1,1),IF(WeekStart="Monday",2,1))+1+15)=1,DATE(CalYear,1,1)-WEEKDAY(DATE(CalYear,1,1),IF(WeekStart="Monday",2,1))+1+15,"")</f>
        <v>0</v>
      </c>
      <c r="D9" s="11">
        <f>IF(MONTH(DATE(CalYear,1,1)-WEEKDAY(DATE(CalYear,1,1),IF(WeekStart="Monday",2,1))+1+16)=1,DATE(CalYear,1,1)-WEEKDAY(DATE(CalYear,1,1),IF(WeekStart="Monday",2,1))+1+16,"")</f>
        <v>0</v>
      </c>
      <c r="E9" s="11">
        <f>IF(MONTH(DATE(CalYear,1,1)-WEEKDAY(DATE(CalYear,1,1),IF(WeekStart="Monday",2,1))+1+17)=1,DATE(CalYear,1,1)-WEEKDAY(DATE(CalYear,1,1),IF(WeekStart="Monday",2,1))+1+17,"")</f>
        <v>0</v>
      </c>
      <c r="F9" s="11">
        <f>IF(MONTH(DATE(CalYear,1,1)-WEEKDAY(DATE(CalYear,1,1),IF(WeekStart="Monday",2,1))+1+18)=1,DATE(CalYear,1,1)-WEEKDAY(DATE(CalYear,1,1),IF(WeekStart="Monday",2,1))+1+18,"")</f>
        <v>0</v>
      </c>
      <c r="G9" s="11">
        <f>IF(MONTH(DATE(CalYear,1,1)-WEEKDAY(DATE(CalYear,1,1),IF(WeekStart="Monday",2,1))+1+19)=1,DATE(CalYear,1,1)-WEEKDAY(DATE(CalYear,1,1),IF(WeekStart="Monday",2,1))+1+19,"")</f>
        <v>0</v>
      </c>
      <c r="H9" s="11">
        <f>IF(MONTH(DATE(CalYear,1,1)-WEEKDAY(DATE(CalYear,1,1),IF(WeekStart="Monday",2,1))+1+20)=1,DATE(CalYear,1,1)-WEEKDAY(DATE(CalYear,1,1),IF(WeekStart="Monday",2,1))+1+20,"")</f>
        <v>0</v>
      </c>
      <c r="J9" s="11">
        <f>IF(MONTH(DATE(CalYear,2,1)-WEEKDAY(DATE(CalYear,2,1),IF(WeekStart="Monday",2,1))+1+14)=2,DATE(CalYear,2,1)-WEEKDAY(DATE(CalYear,2,1),IF(WeekStart="Monday",2,1))+1+14,"")</f>
        <v>0</v>
      </c>
      <c r="K9" s="11">
        <f>IF(MONTH(DATE(CalYear,2,1)-WEEKDAY(DATE(CalYear,2,1),IF(WeekStart="Monday",2,1))+1+15)=2,DATE(CalYear,2,1)-WEEKDAY(DATE(CalYear,2,1),IF(WeekStart="Monday",2,1))+1+15,"")</f>
        <v>0</v>
      </c>
      <c r="L9" s="11">
        <f>IF(MONTH(DATE(CalYear,2,1)-WEEKDAY(DATE(CalYear,2,1),IF(WeekStart="Monday",2,1))+1+16)=2,DATE(CalYear,2,1)-WEEKDAY(DATE(CalYear,2,1),IF(WeekStart="Monday",2,1))+1+16,"")</f>
        <v>0</v>
      </c>
      <c r="M9" s="11">
        <f>IF(MONTH(DATE(CalYear,2,1)-WEEKDAY(DATE(CalYear,2,1),IF(WeekStart="Monday",2,1))+1+17)=2,DATE(CalYear,2,1)-WEEKDAY(DATE(CalYear,2,1),IF(WeekStart="Monday",2,1))+1+17,"")</f>
        <v>0</v>
      </c>
      <c r="N9" s="11">
        <f>IF(MONTH(DATE(CalYear,2,1)-WEEKDAY(DATE(CalYear,2,1),IF(WeekStart="Monday",2,1))+1+18)=2,DATE(CalYear,2,1)-WEEKDAY(DATE(CalYear,2,1),IF(WeekStart="Monday",2,1))+1+18,"")</f>
        <v>0</v>
      </c>
      <c r="O9" s="11">
        <f>IF(MONTH(DATE(CalYear,2,1)-WEEKDAY(DATE(CalYear,2,1),IF(WeekStart="Monday",2,1))+1+19)=2,DATE(CalYear,2,1)-WEEKDAY(DATE(CalYear,2,1),IF(WeekStart="Monday",2,1))+1+19,"")</f>
        <v>0</v>
      </c>
      <c r="P9" s="11">
        <f>IF(MONTH(DATE(CalYear,2,1)-WEEKDAY(DATE(CalYear,2,1),IF(WeekStart="Monday",2,1))+1+20)=2,DATE(CalYear,2,1)-WEEKDAY(DATE(CalYear,2,1),IF(WeekStart="Monday",2,1))+1+20,"")</f>
        <v>0</v>
      </c>
      <c r="R9" s="11">
        <f>IF(MONTH(DATE(CalYear,3,1)-WEEKDAY(DATE(CalYear,3,1),IF(WeekStart="Monday",2,1))+1+14)=3,DATE(CalYear,3,1)-WEEKDAY(DATE(CalYear,3,1),IF(WeekStart="Monday",2,1))+1+14,"")</f>
        <v>0</v>
      </c>
      <c r="S9" s="11">
        <f>IF(MONTH(DATE(CalYear,3,1)-WEEKDAY(DATE(CalYear,3,1),IF(WeekStart="Monday",2,1))+1+15)=3,DATE(CalYear,3,1)-WEEKDAY(DATE(CalYear,3,1),IF(WeekStart="Monday",2,1))+1+15,"")</f>
        <v>0</v>
      </c>
      <c r="T9" s="11">
        <f>IF(MONTH(DATE(CalYear,3,1)-WEEKDAY(DATE(CalYear,3,1),IF(WeekStart="Monday",2,1))+1+16)=3,DATE(CalYear,3,1)-WEEKDAY(DATE(CalYear,3,1),IF(WeekStart="Monday",2,1))+1+16,"")</f>
        <v>0</v>
      </c>
      <c r="U9" s="11">
        <f>IF(MONTH(DATE(CalYear,3,1)-WEEKDAY(DATE(CalYear,3,1),IF(WeekStart="Monday",2,1))+1+17)=3,DATE(CalYear,3,1)-WEEKDAY(DATE(CalYear,3,1),IF(WeekStart="Monday",2,1))+1+17,"")</f>
        <v>0</v>
      </c>
      <c r="V9" s="11">
        <f>IF(MONTH(DATE(CalYear,3,1)-WEEKDAY(DATE(CalYear,3,1),IF(WeekStart="Monday",2,1))+1+18)=3,DATE(CalYear,3,1)-WEEKDAY(DATE(CalYear,3,1),IF(WeekStart="Monday",2,1))+1+18,"")</f>
        <v>0</v>
      </c>
      <c r="W9" s="11">
        <f>IF(MONTH(DATE(CalYear,3,1)-WEEKDAY(DATE(CalYear,3,1),IF(WeekStart="Monday",2,1))+1+19)=3,DATE(CalYear,3,1)-WEEKDAY(DATE(CalYear,3,1),IF(WeekStart="Monday",2,1))+1+19,"")</f>
        <v>0</v>
      </c>
      <c r="X9" s="11">
        <f>IF(MONTH(DATE(CalYear,3,1)-WEEKDAY(DATE(CalYear,3,1),IF(WeekStart="Monday",2,1))+1+20)=3,DATE(CalYear,3,1)-WEEKDAY(DATE(CalYear,3,1),IF(WeekStart="Monday",2,1))+1+20,"")</f>
        <v>0</v>
      </c>
      <c r="Z9" s="11">
        <f>IF(MONTH(DATE(CalYear,4,1)-WEEKDAY(DATE(CalYear,4,1),IF(WeekStart="Monday",2,1))+1+14)=4,DATE(CalYear,4,1)-WEEKDAY(DATE(CalYear,4,1),IF(WeekStart="Monday",2,1))+1+14,"")</f>
        <v>0</v>
      </c>
      <c r="AA9" s="11">
        <f>IF(MONTH(DATE(CalYear,4,1)-WEEKDAY(DATE(CalYear,4,1),IF(WeekStart="Monday",2,1))+1+15)=4,DATE(CalYear,4,1)-WEEKDAY(DATE(CalYear,4,1),IF(WeekStart="Monday",2,1))+1+15,"")</f>
        <v>0</v>
      </c>
      <c r="AB9" s="11">
        <f>IF(MONTH(DATE(CalYear,4,1)-WEEKDAY(DATE(CalYear,4,1),IF(WeekStart="Monday",2,1))+1+16)=4,DATE(CalYear,4,1)-WEEKDAY(DATE(CalYear,4,1),IF(WeekStart="Monday",2,1))+1+16,"")</f>
        <v>0</v>
      </c>
      <c r="AC9" s="11">
        <f>IF(MONTH(DATE(CalYear,4,1)-WEEKDAY(DATE(CalYear,4,1),IF(WeekStart="Monday",2,1))+1+17)=4,DATE(CalYear,4,1)-WEEKDAY(DATE(CalYear,4,1),IF(WeekStart="Monday",2,1))+1+17,"")</f>
        <v>0</v>
      </c>
      <c r="AD9" s="11">
        <f>IF(MONTH(DATE(CalYear,4,1)-WEEKDAY(DATE(CalYear,4,1),IF(WeekStart="Monday",2,1))+1+18)=4,DATE(CalYear,4,1)-WEEKDAY(DATE(CalYear,4,1),IF(WeekStart="Monday",2,1))+1+18,"")</f>
        <v>0</v>
      </c>
      <c r="AE9" s="11">
        <f>IF(MONTH(DATE(CalYear,4,1)-WEEKDAY(DATE(CalYear,4,1),IF(WeekStart="Monday",2,1))+1+19)=4,DATE(CalYear,4,1)-WEEKDAY(DATE(CalYear,4,1),IF(WeekStart="Monday",2,1))+1+19,"")</f>
        <v>0</v>
      </c>
      <c r="AF9" s="11">
        <f>IF(MONTH(DATE(CalYear,4,1)-WEEKDAY(DATE(CalYear,4,1),IF(WeekStart="Monday",2,1))+1+20)=4,DATE(CalYear,4,1)-WEEKDAY(DATE(CalYear,4,1),IF(WeekStart="Monday",2,1))+1+20,"")</f>
        <v>0</v>
      </c>
    </row>
    <row r="10" spans="2:32">
      <c r="B10" s="11">
        <f>IF(MONTH(DATE(CalYear,1,1)-WEEKDAY(DATE(CalYear,1,1),IF(WeekStart="Monday",2,1))+1+21)=1,DATE(CalYear,1,1)-WEEKDAY(DATE(CalYear,1,1),IF(WeekStart="Monday",2,1))+1+21,"")</f>
        <v>0</v>
      </c>
      <c r="C10" s="11">
        <f>IF(MONTH(DATE(CalYear,1,1)-WEEKDAY(DATE(CalYear,1,1),IF(WeekStart="Monday",2,1))+1+22)=1,DATE(CalYear,1,1)-WEEKDAY(DATE(CalYear,1,1),IF(WeekStart="Monday",2,1))+1+22,"")</f>
        <v>0</v>
      </c>
      <c r="D10" s="11">
        <f>IF(MONTH(DATE(CalYear,1,1)-WEEKDAY(DATE(CalYear,1,1),IF(WeekStart="Monday",2,1))+1+23)=1,DATE(CalYear,1,1)-WEEKDAY(DATE(CalYear,1,1),IF(WeekStart="Monday",2,1))+1+23,"")</f>
        <v>0</v>
      </c>
      <c r="E10" s="11">
        <f>IF(MONTH(DATE(CalYear,1,1)-WEEKDAY(DATE(CalYear,1,1),IF(WeekStart="Monday",2,1))+1+24)=1,DATE(CalYear,1,1)-WEEKDAY(DATE(CalYear,1,1),IF(WeekStart="Monday",2,1))+1+24,"")</f>
        <v>0</v>
      </c>
      <c r="F10" s="11">
        <f>IF(MONTH(DATE(CalYear,1,1)-WEEKDAY(DATE(CalYear,1,1),IF(WeekStart="Monday",2,1))+1+25)=1,DATE(CalYear,1,1)-WEEKDAY(DATE(CalYear,1,1),IF(WeekStart="Monday",2,1))+1+25,"")</f>
        <v>0</v>
      </c>
      <c r="G10" s="11">
        <f>IF(MONTH(DATE(CalYear,1,1)-WEEKDAY(DATE(CalYear,1,1),IF(WeekStart="Monday",2,1))+1+26)=1,DATE(CalYear,1,1)-WEEKDAY(DATE(CalYear,1,1),IF(WeekStart="Monday",2,1))+1+26,"")</f>
        <v>0</v>
      </c>
      <c r="H10" s="11">
        <f>IF(MONTH(DATE(CalYear,1,1)-WEEKDAY(DATE(CalYear,1,1),IF(WeekStart="Monday",2,1))+1+27)=1,DATE(CalYear,1,1)-WEEKDAY(DATE(CalYear,1,1),IF(WeekStart="Monday",2,1))+1+27,"")</f>
        <v>0</v>
      </c>
      <c r="J10" s="11">
        <f>IF(MONTH(DATE(CalYear,2,1)-WEEKDAY(DATE(CalYear,2,1),IF(WeekStart="Monday",2,1))+1+21)=2,DATE(CalYear,2,1)-WEEKDAY(DATE(CalYear,2,1),IF(WeekStart="Monday",2,1))+1+21,"")</f>
        <v>0</v>
      </c>
      <c r="K10" s="11">
        <f>IF(MONTH(DATE(CalYear,2,1)-WEEKDAY(DATE(CalYear,2,1),IF(WeekStart="Monday",2,1))+1+22)=2,DATE(CalYear,2,1)-WEEKDAY(DATE(CalYear,2,1),IF(WeekStart="Monday",2,1))+1+22,"")</f>
        <v>0</v>
      </c>
      <c r="L10" s="11">
        <f>IF(MONTH(DATE(CalYear,2,1)-WEEKDAY(DATE(CalYear,2,1),IF(WeekStart="Monday",2,1))+1+23)=2,DATE(CalYear,2,1)-WEEKDAY(DATE(CalYear,2,1),IF(WeekStart="Monday",2,1))+1+23,"")</f>
        <v>0</v>
      </c>
      <c r="M10" s="11">
        <f>IF(MONTH(DATE(CalYear,2,1)-WEEKDAY(DATE(CalYear,2,1),IF(WeekStart="Monday",2,1))+1+24)=2,DATE(CalYear,2,1)-WEEKDAY(DATE(CalYear,2,1),IF(WeekStart="Monday",2,1))+1+24,"")</f>
        <v>0</v>
      </c>
      <c r="N10" s="11">
        <f>IF(MONTH(DATE(CalYear,2,1)-WEEKDAY(DATE(CalYear,2,1),IF(WeekStart="Monday",2,1))+1+25)=2,DATE(CalYear,2,1)-WEEKDAY(DATE(CalYear,2,1),IF(WeekStart="Monday",2,1))+1+25,"")</f>
        <v>0</v>
      </c>
      <c r="O10" s="11">
        <f>IF(MONTH(DATE(CalYear,2,1)-WEEKDAY(DATE(CalYear,2,1),IF(WeekStart="Monday",2,1))+1+26)=2,DATE(CalYear,2,1)-WEEKDAY(DATE(CalYear,2,1),IF(WeekStart="Monday",2,1))+1+26,"")</f>
        <v>0</v>
      </c>
      <c r="P10" s="11">
        <f>IF(MONTH(DATE(CalYear,2,1)-WEEKDAY(DATE(CalYear,2,1),IF(WeekStart="Monday",2,1))+1+27)=2,DATE(CalYear,2,1)-WEEKDAY(DATE(CalYear,2,1),IF(WeekStart="Monday",2,1))+1+27,"")</f>
        <v>0</v>
      </c>
      <c r="R10" s="11">
        <f>IF(MONTH(DATE(CalYear,3,1)-WEEKDAY(DATE(CalYear,3,1),IF(WeekStart="Monday",2,1))+1+21)=3,DATE(CalYear,3,1)-WEEKDAY(DATE(CalYear,3,1),IF(WeekStart="Monday",2,1))+1+21,"")</f>
        <v>0</v>
      </c>
      <c r="S10" s="11">
        <f>IF(MONTH(DATE(CalYear,3,1)-WEEKDAY(DATE(CalYear,3,1),IF(WeekStart="Monday",2,1))+1+22)=3,DATE(CalYear,3,1)-WEEKDAY(DATE(CalYear,3,1),IF(WeekStart="Monday",2,1))+1+22,"")</f>
        <v>0</v>
      </c>
      <c r="T10" s="11">
        <f>IF(MONTH(DATE(CalYear,3,1)-WEEKDAY(DATE(CalYear,3,1),IF(WeekStart="Monday",2,1))+1+23)=3,DATE(CalYear,3,1)-WEEKDAY(DATE(CalYear,3,1),IF(WeekStart="Monday",2,1))+1+23,"")</f>
        <v>0</v>
      </c>
      <c r="U10" s="11">
        <f>IF(MONTH(DATE(CalYear,3,1)-WEEKDAY(DATE(CalYear,3,1),IF(WeekStart="Monday",2,1))+1+24)=3,DATE(CalYear,3,1)-WEEKDAY(DATE(CalYear,3,1),IF(WeekStart="Monday",2,1))+1+24,"")</f>
        <v>0</v>
      </c>
      <c r="V10" s="11">
        <f>IF(MONTH(DATE(CalYear,3,1)-WEEKDAY(DATE(CalYear,3,1),IF(WeekStart="Monday",2,1))+1+25)=3,DATE(CalYear,3,1)-WEEKDAY(DATE(CalYear,3,1),IF(WeekStart="Monday",2,1))+1+25,"")</f>
        <v>0</v>
      </c>
      <c r="W10" s="11">
        <f>IF(MONTH(DATE(CalYear,3,1)-WEEKDAY(DATE(CalYear,3,1),IF(WeekStart="Monday",2,1))+1+26)=3,DATE(CalYear,3,1)-WEEKDAY(DATE(CalYear,3,1),IF(WeekStart="Monday",2,1))+1+26,"")</f>
        <v>0</v>
      </c>
      <c r="X10" s="11">
        <f>IF(MONTH(DATE(CalYear,3,1)-WEEKDAY(DATE(CalYear,3,1),IF(WeekStart="Monday",2,1))+1+27)=3,DATE(CalYear,3,1)-WEEKDAY(DATE(CalYear,3,1),IF(WeekStart="Monday",2,1))+1+27,"")</f>
        <v>0</v>
      </c>
      <c r="Z10" s="11">
        <f>IF(MONTH(DATE(CalYear,4,1)-WEEKDAY(DATE(CalYear,4,1),IF(WeekStart="Monday",2,1))+1+21)=4,DATE(CalYear,4,1)-WEEKDAY(DATE(CalYear,4,1),IF(WeekStart="Monday",2,1))+1+21,"")</f>
        <v>0</v>
      </c>
      <c r="AA10" s="11">
        <f>IF(MONTH(DATE(CalYear,4,1)-WEEKDAY(DATE(CalYear,4,1),IF(WeekStart="Monday",2,1))+1+22)=4,DATE(CalYear,4,1)-WEEKDAY(DATE(CalYear,4,1),IF(WeekStart="Monday",2,1))+1+22,"")</f>
        <v>0</v>
      </c>
      <c r="AB10" s="11">
        <f>IF(MONTH(DATE(CalYear,4,1)-WEEKDAY(DATE(CalYear,4,1),IF(WeekStart="Monday",2,1))+1+23)=4,DATE(CalYear,4,1)-WEEKDAY(DATE(CalYear,4,1),IF(WeekStart="Monday",2,1))+1+23,"")</f>
        <v>0</v>
      </c>
      <c r="AC10" s="11">
        <f>IF(MONTH(DATE(CalYear,4,1)-WEEKDAY(DATE(CalYear,4,1),IF(WeekStart="Monday",2,1))+1+24)=4,DATE(CalYear,4,1)-WEEKDAY(DATE(CalYear,4,1),IF(WeekStart="Monday",2,1))+1+24,"")</f>
        <v>0</v>
      </c>
      <c r="AD10" s="11">
        <f>IF(MONTH(DATE(CalYear,4,1)-WEEKDAY(DATE(CalYear,4,1),IF(WeekStart="Monday",2,1))+1+25)=4,DATE(CalYear,4,1)-WEEKDAY(DATE(CalYear,4,1),IF(WeekStart="Monday",2,1))+1+25,"")</f>
        <v>0</v>
      </c>
      <c r="AE10" s="11">
        <f>IF(MONTH(DATE(CalYear,4,1)-WEEKDAY(DATE(CalYear,4,1),IF(WeekStart="Monday",2,1))+1+26)=4,DATE(CalYear,4,1)-WEEKDAY(DATE(CalYear,4,1),IF(WeekStart="Monday",2,1))+1+26,"")</f>
        <v>0</v>
      </c>
      <c r="AF10" s="11">
        <f>IF(MONTH(DATE(CalYear,4,1)-WEEKDAY(DATE(CalYear,4,1),IF(WeekStart="Monday",2,1))+1+27)=4,DATE(CalYear,4,1)-WEEKDAY(DATE(CalYear,4,1),IF(WeekStart="Monday",2,1))+1+27,"")</f>
        <v>0</v>
      </c>
    </row>
    <row r="11" spans="2:32">
      <c r="B11" s="11">
        <f>IF(MONTH(DATE(CalYear,1,1)-WEEKDAY(DATE(CalYear,1,1),IF(WeekStart="Monday",2,1))+1+28)=1,DATE(CalYear,1,1)-WEEKDAY(DATE(CalYear,1,1),IF(WeekStart="Monday",2,1))+1+28,"")</f>
        <v>0</v>
      </c>
      <c r="C11" s="11">
        <f>IF(MONTH(DATE(CalYear,1,1)-WEEKDAY(DATE(CalYear,1,1),IF(WeekStart="Monday",2,1))+1+29)=1,DATE(CalYear,1,1)-WEEKDAY(DATE(CalYear,1,1),IF(WeekStart="Monday",2,1))+1+29,"")</f>
        <v>0</v>
      </c>
      <c r="D11" s="11">
        <f>IF(MONTH(DATE(CalYear,1,1)-WEEKDAY(DATE(CalYear,1,1),IF(WeekStart="Monday",2,1))+1+30)=1,DATE(CalYear,1,1)-WEEKDAY(DATE(CalYear,1,1),IF(WeekStart="Monday",2,1))+1+30,"")</f>
        <v>0</v>
      </c>
      <c r="E11" s="11">
        <f>IF(MONTH(DATE(CalYear,1,1)-WEEKDAY(DATE(CalYear,1,1),IF(WeekStart="Monday",2,1))+1+31)=1,DATE(CalYear,1,1)-WEEKDAY(DATE(CalYear,1,1),IF(WeekStart="Monday",2,1))+1+31,"")</f>
        <v>0</v>
      </c>
      <c r="F11" s="11">
        <f>IF(MONTH(DATE(CalYear,1,1)-WEEKDAY(DATE(CalYear,1,1),IF(WeekStart="Monday",2,1))+1+32)=1,DATE(CalYear,1,1)-WEEKDAY(DATE(CalYear,1,1),IF(WeekStart="Monday",2,1))+1+32,"")</f>
        <v>0</v>
      </c>
      <c r="G11" s="11">
        <f>IF(MONTH(DATE(CalYear,1,1)-WEEKDAY(DATE(CalYear,1,1),IF(WeekStart="Monday",2,1))+1+33)=1,DATE(CalYear,1,1)-WEEKDAY(DATE(CalYear,1,1),IF(WeekStart="Monday",2,1))+1+33,"")</f>
        <v>0</v>
      </c>
      <c r="H11" s="11">
        <f>IF(MONTH(DATE(CalYear,1,1)-WEEKDAY(DATE(CalYear,1,1),IF(WeekStart="Monday",2,1))+1+34)=1,DATE(CalYear,1,1)-WEEKDAY(DATE(CalYear,1,1),IF(WeekStart="Monday",2,1))+1+34,"")</f>
        <v>0</v>
      </c>
      <c r="J11" s="11">
        <f>IF(MONTH(DATE(CalYear,2,1)-WEEKDAY(DATE(CalYear,2,1),IF(WeekStart="Monday",2,1))+1+28)=2,DATE(CalYear,2,1)-WEEKDAY(DATE(CalYear,2,1),IF(WeekStart="Monday",2,1))+1+28,"")</f>
        <v>0</v>
      </c>
      <c r="K11" s="11">
        <f>IF(MONTH(DATE(CalYear,2,1)-WEEKDAY(DATE(CalYear,2,1),IF(WeekStart="Monday",2,1))+1+29)=2,DATE(CalYear,2,1)-WEEKDAY(DATE(CalYear,2,1),IF(WeekStart="Monday",2,1))+1+29,"")</f>
        <v>0</v>
      </c>
      <c r="L11" s="11">
        <f>IF(MONTH(DATE(CalYear,2,1)-WEEKDAY(DATE(CalYear,2,1),IF(WeekStart="Monday",2,1))+1+30)=2,DATE(CalYear,2,1)-WEEKDAY(DATE(CalYear,2,1),IF(WeekStart="Monday",2,1))+1+30,"")</f>
        <v>0</v>
      </c>
      <c r="M11" s="11">
        <f>IF(MONTH(DATE(CalYear,2,1)-WEEKDAY(DATE(CalYear,2,1),IF(WeekStart="Monday",2,1))+1+31)=2,DATE(CalYear,2,1)-WEEKDAY(DATE(CalYear,2,1),IF(WeekStart="Monday",2,1))+1+31,"")</f>
        <v>0</v>
      </c>
      <c r="N11" s="11">
        <f>IF(MONTH(DATE(CalYear,2,1)-WEEKDAY(DATE(CalYear,2,1),IF(WeekStart="Monday",2,1))+1+32)=2,DATE(CalYear,2,1)-WEEKDAY(DATE(CalYear,2,1),IF(WeekStart="Monday",2,1))+1+32,"")</f>
        <v>0</v>
      </c>
      <c r="O11" s="11">
        <f>IF(MONTH(DATE(CalYear,2,1)-WEEKDAY(DATE(CalYear,2,1),IF(WeekStart="Monday",2,1))+1+33)=2,DATE(CalYear,2,1)-WEEKDAY(DATE(CalYear,2,1),IF(WeekStart="Monday",2,1))+1+33,"")</f>
        <v>0</v>
      </c>
      <c r="P11" s="11">
        <f>IF(MONTH(DATE(CalYear,2,1)-WEEKDAY(DATE(CalYear,2,1),IF(WeekStart="Monday",2,1))+1+34)=2,DATE(CalYear,2,1)-WEEKDAY(DATE(CalYear,2,1),IF(WeekStart="Monday",2,1))+1+34,"")</f>
        <v>0</v>
      </c>
      <c r="R11" s="11">
        <f>IF(MONTH(DATE(CalYear,3,1)-WEEKDAY(DATE(CalYear,3,1),IF(WeekStart="Monday",2,1))+1+28)=3,DATE(CalYear,3,1)-WEEKDAY(DATE(CalYear,3,1),IF(WeekStart="Monday",2,1))+1+28,"")</f>
        <v>0</v>
      </c>
      <c r="S11" s="11">
        <f>IF(MONTH(DATE(CalYear,3,1)-WEEKDAY(DATE(CalYear,3,1),IF(WeekStart="Monday",2,1))+1+29)=3,DATE(CalYear,3,1)-WEEKDAY(DATE(CalYear,3,1),IF(WeekStart="Monday",2,1))+1+29,"")</f>
        <v>0</v>
      </c>
      <c r="T11" s="11">
        <f>IF(MONTH(DATE(CalYear,3,1)-WEEKDAY(DATE(CalYear,3,1),IF(WeekStart="Monday",2,1))+1+30)=3,DATE(CalYear,3,1)-WEEKDAY(DATE(CalYear,3,1),IF(WeekStart="Monday",2,1))+1+30,"")</f>
        <v>0</v>
      </c>
      <c r="U11" s="11">
        <f>IF(MONTH(DATE(CalYear,3,1)-WEEKDAY(DATE(CalYear,3,1),IF(WeekStart="Monday",2,1))+1+31)=3,DATE(CalYear,3,1)-WEEKDAY(DATE(CalYear,3,1),IF(WeekStart="Monday",2,1))+1+31,"")</f>
        <v>0</v>
      </c>
      <c r="V11" s="11">
        <f>IF(MONTH(DATE(CalYear,3,1)-WEEKDAY(DATE(CalYear,3,1),IF(WeekStart="Monday",2,1))+1+32)=3,DATE(CalYear,3,1)-WEEKDAY(DATE(CalYear,3,1),IF(WeekStart="Monday",2,1))+1+32,"")</f>
        <v>0</v>
      </c>
      <c r="W11" s="11">
        <f>IF(MONTH(DATE(CalYear,3,1)-WEEKDAY(DATE(CalYear,3,1),IF(WeekStart="Monday",2,1))+1+33)=3,DATE(CalYear,3,1)-WEEKDAY(DATE(CalYear,3,1),IF(WeekStart="Monday",2,1))+1+33,"")</f>
        <v>0</v>
      </c>
      <c r="X11" s="11">
        <f>IF(MONTH(DATE(CalYear,3,1)-WEEKDAY(DATE(CalYear,3,1),IF(WeekStart="Monday",2,1))+1+34)=3,DATE(CalYear,3,1)-WEEKDAY(DATE(CalYear,3,1),IF(WeekStart="Monday",2,1))+1+34,"")</f>
        <v>0</v>
      </c>
      <c r="Z11" s="11">
        <f>IF(MONTH(DATE(CalYear,4,1)-WEEKDAY(DATE(CalYear,4,1),IF(WeekStart="Monday",2,1))+1+28)=4,DATE(CalYear,4,1)-WEEKDAY(DATE(CalYear,4,1),IF(WeekStart="Monday",2,1))+1+28,"")</f>
        <v>0</v>
      </c>
      <c r="AA11" s="11">
        <f>IF(MONTH(DATE(CalYear,4,1)-WEEKDAY(DATE(CalYear,4,1),IF(WeekStart="Monday",2,1))+1+29)=4,DATE(CalYear,4,1)-WEEKDAY(DATE(CalYear,4,1),IF(WeekStart="Monday",2,1))+1+29,"")</f>
        <v>0</v>
      </c>
      <c r="AB11" s="11">
        <f>IF(MONTH(DATE(CalYear,4,1)-WEEKDAY(DATE(CalYear,4,1),IF(WeekStart="Monday",2,1))+1+30)=4,DATE(CalYear,4,1)-WEEKDAY(DATE(CalYear,4,1),IF(WeekStart="Monday",2,1))+1+30,"")</f>
        <v>0</v>
      </c>
      <c r="AC11" s="11">
        <f>IF(MONTH(DATE(CalYear,4,1)-WEEKDAY(DATE(CalYear,4,1),IF(WeekStart="Monday",2,1))+1+31)=4,DATE(CalYear,4,1)-WEEKDAY(DATE(CalYear,4,1),IF(WeekStart="Monday",2,1))+1+31,"")</f>
        <v>0</v>
      </c>
      <c r="AD11" s="11">
        <f>IF(MONTH(DATE(CalYear,4,1)-WEEKDAY(DATE(CalYear,4,1),IF(WeekStart="Monday",2,1))+1+32)=4,DATE(CalYear,4,1)-WEEKDAY(DATE(CalYear,4,1),IF(WeekStart="Monday",2,1))+1+32,"")</f>
        <v>0</v>
      </c>
      <c r="AE11" s="11">
        <f>IF(MONTH(DATE(CalYear,4,1)-WEEKDAY(DATE(CalYear,4,1),IF(WeekStart="Monday",2,1))+1+33)=4,DATE(CalYear,4,1)-WEEKDAY(DATE(CalYear,4,1),IF(WeekStart="Monday",2,1))+1+33,"")</f>
        <v>0</v>
      </c>
      <c r="AF11" s="11">
        <f>IF(MONTH(DATE(CalYear,4,1)-WEEKDAY(DATE(CalYear,4,1),IF(WeekStart="Monday",2,1))+1+34)=4,DATE(CalYear,4,1)-WEEKDAY(DATE(CalYear,4,1),IF(WeekStart="Monday",2,1))+1+34,"")</f>
        <v>0</v>
      </c>
    </row>
    <row r="12" spans="2:32">
      <c r="B12" s="11">
        <f>IF(MONTH(DATE(CalYear,1,1)-WEEKDAY(DATE(CalYear,1,1),IF(WeekStart="Monday",2,1))+1+35)=1,DATE(CalYear,1,1)-WEEKDAY(DATE(CalYear,1,1),IF(WeekStart="Monday",2,1))+1+35,"")</f>
        <v>0</v>
      </c>
      <c r="C12" s="11">
        <f>IF(MONTH(DATE(CalYear,1,1)-WEEKDAY(DATE(CalYear,1,1),IF(WeekStart="Monday",2,1))+1+36)=1,DATE(CalYear,1,1)-WEEKDAY(DATE(CalYear,1,1),IF(WeekStart="Monday",2,1))+1+36,"")</f>
        <v>0</v>
      </c>
      <c r="D12" s="11">
        <f>IF(MONTH(DATE(CalYear,1,1)-WEEKDAY(DATE(CalYear,1,1),IF(WeekStart="Monday",2,1))+1+37)=1,DATE(CalYear,1,1)-WEEKDAY(DATE(CalYear,1,1),IF(WeekStart="Monday",2,1))+1+37,"")</f>
        <v>0</v>
      </c>
      <c r="E12" s="11">
        <f>IF(MONTH(DATE(CalYear,1,1)-WEEKDAY(DATE(CalYear,1,1),IF(WeekStart="Monday",2,1))+1+38)=1,DATE(CalYear,1,1)-WEEKDAY(DATE(CalYear,1,1),IF(WeekStart="Monday",2,1))+1+38,"")</f>
        <v>0</v>
      </c>
      <c r="F12" s="11">
        <f>IF(MONTH(DATE(CalYear,1,1)-WEEKDAY(DATE(CalYear,1,1),IF(WeekStart="Monday",2,1))+1+39)=1,DATE(CalYear,1,1)-WEEKDAY(DATE(CalYear,1,1),IF(WeekStart="Monday",2,1))+1+39,"")</f>
        <v>0</v>
      </c>
      <c r="G12" s="11">
        <f>IF(MONTH(DATE(CalYear,1,1)-WEEKDAY(DATE(CalYear,1,1),IF(WeekStart="Monday",2,1))+1+40)=1,DATE(CalYear,1,1)-WEEKDAY(DATE(CalYear,1,1),IF(WeekStart="Monday",2,1))+1+40,"")</f>
        <v>0</v>
      </c>
      <c r="H12" s="11">
        <f>IF(MONTH(DATE(CalYear,1,1)-WEEKDAY(DATE(CalYear,1,1),IF(WeekStart="Monday",2,1))+1+41)=1,DATE(CalYear,1,1)-WEEKDAY(DATE(CalYear,1,1),IF(WeekStart="Monday",2,1))+1+41,"")</f>
        <v>0</v>
      </c>
      <c r="J12" s="11">
        <f>IF(MONTH(DATE(CalYear,2,1)-WEEKDAY(DATE(CalYear,2,1),IF(WeekStart="Monday",2,1))+1+35)=2,DATE(CalYear,2,1)-WEEKDAY(DATE(CalYear,2,1),IF(WeekStart="Monday",2,1))+1+35,"")</f>
        <v>0</v>
      </c>
      <c r="K12" s="11">
        <f>IF(MONTH(DATE(CalYear,2,1)-WEEKDAY(DATE(CalYear,2,1),IF(WeekStart="Monday",2,1))+1+36)=2,DATE(CalYear,2,1)-WEEKDAY(DATE(CalYear,2,1),IF(WeekStart="Monday",2,1))+1+36,"")</f>
        <v>0</v>
      </c>
      <c r="L12" s="11">
        <f>IF(MONTH(DATE(CalYear,2,1)-WEEKDAY(DATE(CalYear,2,1),IF(WeekStart="Monday",2,1))+1+37)=2,DATE(CalYear,2,1)-WEEKDAY(DATE(CalYear,2,1),IF(WeekStart="Monday",2,1))+1+37,"")</f>
        <v>0</v>
      </c>
      <c r="M12" s="11">
        <f>IF(MONTH(DATE(CalYear,2,1)-WEEKDAY(DATE(CalYear,2,1),IF(WeekStart="Monday",2,1))+1+38)=2,DATE(CalYear,2,1)-WEEKDAY(DATE(CalYear,2,1),IF(WeekStart="Monday",2,1))+1+38,"")</f>
        <v>0</v>
      </c>
      <c r="N12" s="11">
        <f>IF(MONTH(DATE(CalYear,2,1)-WEEKDAY(DATE(CalYear,2,1),IF(WeekStart="Monday",2,1))+1+39)=2,DATE(CalYear,2,1)-WEEKDAY(DATE(CalYear,2,1),IF(WeekStart="Monday",2,1))+1+39,"")</f>
        <v>0</v>
      </c>
      <c r="O12" s="11">
        <f>IF(MONTH(DATE(CalYear,2,1)-WEEKDAY(DATE(CalYear,2,1),IF(WeekStart="Monday",2,1))+1+40)=2,DATE(CalYear,2,1)-WEEKDAY(DATE(CalYear,2,1),IF(WeekStart="Monday",2,1))+1+40,"")</f>
        <v>0</v>
      </c>
      <c r="P12" s="11">
        <f>IF(MONTH(DATE(CalYear,2,1)-WEEKDAY(DATE(CalYear,2,1),IF(WeekStart="Monday",2,1))+1+41)=2,DATE(CalYear,2,1)-WEEKDAY(DATE(CalYear,2,1),IF(WeekStart="Monday",2,1))+1+41,"")</f>
        <v>0</v>
      </c>
      <c r="R12" s="11">
        <f>IF(MONTH(DATE(CalYear,3,1)-WEEKDAY(DATE(CalYear,3,1),IF(WeekStart="Monday",2,1))+1+35)=3,DATE(CalYear,3,1)-WEEKDAY(DATE(CalYear,3,1),IF(WeekStart="Monday",2,1))+1+35,"")</f>
        <v>0</v>
      </c>
      <c r="S12" s="11">
        <f>IF(MONTH(DATE(CalYear,3,1)-WEEKDAY(DATE(CalYear,3,1),IF(WeekStart="Monday",2,1))+1+36)=3,DATE(CalYear,3,1)-WEEKDAY(DATE(CalYear,3,1),IF(WeekStart="Monday",2,1))+1+36,"")</f>
        <v>0</v>
      </c>
      <c r="T12" s="11">
        <f>IF(MONTH(DATE(CalYear,3,1)-WEEKDAY(DATE(CalYear,3,1),IF(WeekStart="Monday",2,1))+1+37)=3,DATE(CalYear,3,1)-WEEKDAY(DATE(CalYear,3,1),IF(WeekStart="Monday",2,1))+1+37,"")</f>
        <v>0</v>
      </c>
      <c r="U12" s="11">
        <f>IF(MONTH(DATE(CalYear,3,1)-WEEKDAY(DATE(CalYear,3,1),IF(WeekStart="Monday",2,1))+1+38)=3,DATE(CalYear,3,1)-WEEKDAY(DATE(CalYear,3,1),IF(WeekStart="Monday",2,1))+1+38,"")</f>
        <v>0</v>
      </c>
      <c r="V12" s="11">
        <f>IF(MONTH(DATE(CalYear,3,1)-WEEKDAY(DATE(CalYear,3,1),IF(WeekStart="Monday",2,1))+1+39)=3,DATE(CalYear,3,1)-WEEKDAY(DATE(CalYear,3,1),IF(WeekStart="Monday",2,1))+1+39,"")</f>
        <v>0</v>
      </c>
      <c r="W12" s="11">
        <f>IF(MONTH(DATE(CalYear,3,1)-WEEKDAY(DATE(CalYear,3,1),IF(WeekStart="Monday",2,1))+1+40)=3,DATE(CalYear,3,1)-WEEKDAY(DATE(CalYear,3,1),IF(WeekStart="Monday",2,1))+1+40,"")</f>
        <v>0</v>
      </c>
      <c r="X12" s="11">
        <f>IF(MONTH(DATE(CalYear,3,1)-WEEKDAY(DATE(CalYear,3,1),IF(WeekStart="Monday",2,1))+1+41)=3,DATE(CalYear,3,1)-WEEKDAY(DATE(CalYear,3,1),IF(WeekStart="Monday",2,1))+1+41,"")</f>
        <v>0</v>
      </c>
      <c r="Z12" s="11">
        <f>IF(MONTH(DATE(CalYear,4,1)-WEEKDAY(DATE(CalYear,4,1),IF(WeekStart="Monday",2,1))+1+35)=4,DATE(CalYear,4,1)-WEEKDAY(DATE(CalYear,4,1),IF(WeekStart="Monday",2,1))+1+35,"")</f>
        <v>0</v>
      </c>
      <c r="AA12" s="11">
        <f>IF(MONTH(DATE(CalYear,4,1)-WEEKDAY(DATE(CalYear,4,1),IF(WeekStart="Monday",2,1))+1+36)=4,DATE(CalYear,4,1)-WEEKDAY(DATE(CalYear,4,1),IF(WeekStart="Monday",2,1))+1+36,"")</f>
        <v>0</v>
      </c>
      <c r="AB12" s="11">
        <f>IF(MONTH(DATE(CalYear,4,1)-WEEKDAY(DATE(CalYear,4,1),IF(WeekStart="Monday",2,1))+1+37)=4,DATE(CalYear,4,1)-WEEKDAY(DATE(CalYear,4,1),IF(WeekStart="Monday",2,1))+1+37,"")</f>
        <v>0</v>
      </c>
      <c r="AC12" s="11">
        <f>IF(MONTH(DATE(CalYear,4,1)-WEEKDAY(DATE(CalYear,4,1),IF(WeekStart="Monday",2,1))+1+38)=4,DATE(CalYear,4,1)-WEEKDAY(DATE(CalYear,4,1),IF(WeekStart="Monday",2,1))+1+38,"")</f>
        <v>0</v>
      </c>
      <c r="AD12" s="11">
        <f>IF(MONTH(DATE(CalYear,4,1)-WEEKDAY(DATE(CalYear,4,1),IF(WeekStart="Monday",2,1))+1+39)=4,DATE(CalYear,4,1)-WEEKDAY(DATE(CalYear,4,1),IF(WeekStart="Monday",2,1))+1+39,"")</f>
        <v>0</v>
      </c>
      <c r="AE12" s="11">
        <f>IF(MONTH(DATE(CalYear,4,1)-WEEKDAY(DATE(CalYear,4,1),IF(WeekStart="Monday",2,1))+1+40)=4,DATE(CalYear,4,1)-WEEKDAY(DATE(CalYear,4,1),IF(WeekStart="Monday",2,1))+1+40,"")</f>
        <v>0</v>
      </c>
      <c r="AF12" s="11">
        <f>IF(MONTH(DATE(CalYear,4,1)-WEEKDAY(DATE(CalYear,4,1),IF(WeekStart="Monday",2,1))+1+41)=4,DATE(CalYear,4,1)-WEEKDAY(DATE(CalYear,4,1),IF(WeekStart="Monday",2,1))+1+41,"")</f>
        <v>0</v>
      </c>
    </row>
    <row r="15" spans="2:32" ht="22" customHeight="1">
      <c r="B15" s="12" t="s">
        <v>8</v>
      </c>
      <c r="C15" s="12"/>
      <c r="D15" s="12"/>
      <c r="E15" s="12"/>
      <c r="F15" s="12"/>
      <c r="G15" s="12"/>
      <c r="H15" s="12"/>
      <c r="J15" s="13" t="s">
        <v>9</v>
      </c>
      <c r="K15" s="13"/>
      <c r="L15" s="13"/>
      <c r="M15" s="13"/>
      <c r="N15" s="13"/>
      <c r="O15" s="13"/>
      <c r="P15" s="13"/>
      <c r="R15" s="6" t="s">
        <v>10</v>
      </c>
      <c r="S15" s="6"/>
      <c r="T15" s="6"/>
      <c r="U15" s="6"/>
      <c r="V15" s="6"/>
      <c r="W15" s="6"/>
      <c r="X15" s="6"/>
      <c r="Z15" s="7" t="s">
        <v>11</v>
      </c>
      <c r="AA15" s="7"/>
      <c r="AB15" s="7"/>
      <c r="AC15" s="7"/>
      <c r="AD15" s="7"/>
      <c r="AE15" s="7"/>
      <c r="AF15" s="7"/>
    </row>
    <row r="16" spans="2:32">
      <c r="B16" s="10">
        <f>IF(WeekStart="Monday",CHOOSE(1,"M","T","W","T","F","S","S"),CHOOSE(1,"S","M","T","W","T","F","S"))</f>
        <v>0</v>
      </c>
      <c r="C16" s="10">
        <f>IF(WeekStart="Monday",CHOOSE(2,"M","T","W","T","F","S","S"),CHOOSE(2,"S","M","T","W","T","F","S"))</f>
        <v>0</v>
      </c>
      <c r="D16" s="10">
        <f>IF(WeekStart="Monday",CHOOSE(3,"M","T","W","T","F","S","S"),CHOOSE(3,"S","M","T","W","T","F","S"))</f>
        <v>0</v>
      </c>
      <c r="E16" s="10">
        <f>IF(WeekStart="Monday",CHOOSE(4,"M","T","W","T","F","S","S"),CHOOSE(4,"S","M","T","W","T","F","S"))</f>
        <v>0</v>
      </c>
      <c r="F16" s="10">
        <f>IF(WeekStart="Monday",CHOOSE(5,"M","T","W","T","F","S","S"),CHOOSE(5,"S","M","T","W","T","F","S"))</f>
        <v>0</v>
      </c>
      <c r="G16" s="10">
        <f>IF(WeekStart="Monday",CHOOSE(6,"M","T","W","T","F","S","S"),CHOOSE(6,"S","M","T","W","T","F","S"))</f>
        <v>0</v>
      </c>
      <c r="H16" s="10">
        <f>IF(WeekStart="Monday",CHOOSE(7,"M","T","W","T","F","S","S"),CHOOSE(7,"S","M","T","W","T","F","S"))</f>
        <v>0</v>
      </c>
      <c r="J16" s="10">
        <f>IF(WeekStart="Monday",CHOOSE(1,"M","T","W","T","F","S","S"),CHOOSE(1,"S","M","T","W","T","F","S"))</f>
        <v>0</v>
      </c>
      <c r="K16" s="10">
        <f>IF(WeekStart="Monday",CHOOSE(2,"M","T","W","T","F","S","S"),CHOOSE(2,"S","M","T","W","T","F","S"))</f>
        <v>0</v>
      </c>
      <c r="L16" s="10">
        <f>IF(WeekStart="Monday",CHOOSE(3,"M","T","W","T","F","S","S"),CHOOSE(3,"S","M","T","W","T","F","S"))</f>
        <v>0</v>
      </c>
      <c r="M16" s="10">
        <f>IF(WeekStart="Monday",CHOOSE(4,"M","T","W","T","F","S","S"),CHOOSE(4,"S","M","T","W","T","F","S"))</f>
        <v>0</v>
      </c>
      <c r="N16" s="10">
        <f>IF(WeekStart="Monday",CHOOSE(5,"M","T","W","T","F","S","S"),CHOOSE(5,"S","M","T","W","T","F","S"))</f>
        <v>0</v>
      </c>
      <c r="O16" s="10">
        <f>IF(WeekStart="Monday",CHOOSE(6,"M","T","W","T","F","S","S"),CHOOSE(6,"S","M","T","W","T","F","S"))</f>
        <v>0</v>
      </c>
      <c r="P16" s="10">
        <f>IF(WeekStart="Monday",CHOOSE(7,"M","T","W","T","F","S","S"),CHOOSE(7,"S","M","T","W","T","F","S"))</f>
        <v>0</v>
      </c>
      <c r="R16" s="10">
        <f>IF(WeekStart="Monday",CHOOSE(1,"M","T","W","T","F","S","S"),CHOOSE(1,"S","M","T","W","T","F","S"))</f>
        <v>0</v>
      </c>
      <c r="S16" s="10">
        <f>IF(WeekStart="Monday",CHOOSE(2,"M","T","W","T","F","S","S"),CHOOSE(2,"S","M","T","W","T","F","S"))</f>
        <v>0</v>
      </c>
      <c r="T16" s="10">
        <f>IF(WeekStart="Monday",CHOOSE(3,"M","T","W","T","F","S","S"),CHOOSE(3,"S","M","T","W","T","F","S"))</f>
        <v>0</v>
      </c>
      <c r="U16" s="10">
        <f>IF(WeekStart="Monday",CHOOSE(4,"M","T","W","T","F","S","S"),CHOOSE(4,"S","M","T","W","T","F","S"))</f>
        <v>0</v>
      </c>
      <c r="V16" s="10">
        <f>IF(WeekStart="Monday",CHOOSE(5,"M","T","W","T","F","S","S"),CHOOSE(5,"S","M","T","W","T","F","S"))</f>
        <v>0</v>
      </c>
      <c r="W16" s="10">
        <f>IF(WeekStart="Monday",CHOOSE(6,"M","T","W","T","F","S","S"),CHOOSE(6,"S","M","T","W","T","F","S"))</f>
        <v>0</v>
      </c>
      <c r="X16" s="10">
        <f>IF(WeekStart="Monday",CHOOSE(7,"M","T","W","T","F","S","S"),CHOOSE(7,"S","M","T","W","T","F","S"))</f>
        <v>0</v>
      </c>
      <c r="Z16" s="10">
        <f>IF(WeekStart="Monday",CHOOSE(1,"M","T","W","T","F","S","S"),CHOOSE(1,"S","M","T","W","T","F","S"))</f>
        <v>0</v>
      </c>
      <c r="AA16" s="10">
        <f>IF(WeekStart="Monday",CHOOSE(2,"M","T","W","T","F","S","S"),CHOOSE(2,"S","M","T","W","T","F","S"))</f>
        <v>0</v>
      </c>
      <c r="AB16" s="10">
        <f>IF(WeekStart="Monday",CHOOSE(3,"M","T","W","T","F","S","S"),CHOOSE(3,"S","M","T","W","T","F","S"))</f>
        <v>0</v>
      </c>
      <c r="AC16" s="10">
        <f>IF(WeekStart="Monday",CHOOSE(4,"M","T","W","T","F","S","S"),CHOOSE(4,"S","M","T","W","T","F","S"))</f>
        <v>0</v>
      </c>
      <c r="AD16" s="10">
        <f>IF(WeekStart="Monday",CHOOSE(5,"M","T","W","T","F","S","S"),CHOOSE(5,"S","M","T","W","T","F","S"))</f>
        <v>0</v>
      </c>
      <c r="AE16" s="10">
        <f>IF(WeekStart="Monday",CHOOSE(6,"M","T","W","T","F","S","S"),CHOOSE(6,"S","M","T","W","T","F","S"))</f>
        <v>0</v>
      </c>
      <c r="AF16" s="10">
        <f>IF(WeekStart="Monday",CHOOSE(7,"M","T","W","T","F","S","S"),CHOOSE(7,"S","M","T","W","T","F","S"))</f>
        <v>0</v>
      </c>
    </row>
    <row r="17" spans="2:32">
      <c r="B17" s="11">
        <f>IF(MONTH(DATE(CalYear,5,1)-WEEKDAY(DATE(CalYear,5,1),IF(WeekStart="Monday",2,1))+1+0)=5,DATE(CalYear,5,1)-WEEKDAY(DATE(CalYear,5,1),IF(WeekStart="Monday",2,1))+1+0,"")</f>
        <v>0</v>
      </c>
      <c r="C17" s="11">
        <f>IF(MONTH(DATE(CalYear,5,1)-WEEKDAY(DATE(CalYear,5,1),IF(WeekStart="Monday",2,1))+1+1)=5,DATE(CalYear,5,1)-WEEKDAY(DATE(CalYear,5,1),IF(WeekStart="Monday",2,1))+1+1,"")</f>
        <v>0</v>
      </c>
      <c r="D17" s="11">
        <f>IF(MONTH(DATE(CalYear,5,1)-WEEKDAY(DATE(CalYear,5,1),IF(WeekStart="Monday",2,1))+1+2)=5,DATE(CalYear,5,1)-WEEKDAY(DATE(CalYear,5,1),IF(WeekStart="Monday",2,1))+1+2,"")</f>
        <v>0</v>
      </c>
      <c r="E17" s="11">
        <f>IF(MONTH(DATE(CalYear,5,1)-WEEKDAY(DATE(CalYear,5,1),IF(WeekStart="Monday",2,1))+1+3)=5,DATE(CalYear,5,1)-WEEKDAY(DATE(CalYear,5,1),IF(WeekStart="Monday",2,1))+1+3,"")</f>
        <v>0</v>
      </c>
      <c r="F17" s="11">
        <f>IF(MONTH(DATE(CalYear,5,1)-WEEKDAY(DATE(CalYear,5,1),IF(WeekStart="Monday",2,1))+1+4)=5,DATE(CalYear,5,1)-WEEKDAY(DATE(CalYear,5,1),IF(WeekStart="Monday",2,1))+1+4,"")</f>
        <v>0</v>
      </c>
      <c r="G17" s="11">
        <f>IF(MONTH(DATE(CalYear,5,1)-WEEKDAY(DATE(CalYear,5,1),IF(WeekStart="Monday",2,1))+1+5)=5,DATE(CalYear,5,1)-WEEKDAY(DATE(CalYear,5,1),IF(WeekStart="Monday",2,1))+1+5,"")</f>
        <v>0</v>
      </c>
      <c r="H17" s="11">
        <f>IF(MONTH(DATE(CalYear,5,1)-WEEKDAY(DATE(CalYear,5,1),IF(WeekStart="Monday",2,1))+1+6)=5,DATE(CalYear,5,1)-WEEKDAY(DATE(CalYear,5,1),IF(WeekStart="Monday",2,1))+1+6,"")</f>
        <v>0</v>
      </c>
      <c r="J17" s="11">
        <f>IF(MONTH(DATE(CalYear,6,1)-WEEKDAY(DATE(CalYear,6,1),IF(WeekStart="Monday",2,1))+1+0)=6,DATE(CalYear,6,1)-WEEKDAY(DATE(CalYear,6,1),IF(WeekStart="Monday",2,1))+1+0,"")</f>
        <v>0</v>
      </c>
      <c r="K17" s="11">
        <f>IF(MONTH(DATE(CalYear,6,1)-WEEKDAY(DATE(CalYear,6,1),IF(WeekStart="Monday",2,1))+1+1)=6,DATE(CalYear,6,1)-WEEKDAY(DATE(CalYear,6,1),IF(WeekStart="Monday",2,1))+1+1,"")</f>
        <v>0</v>
      </c>
      <c r="L17" s="11">
        <f>IF(MONTH(DATE(CalYear,6,1)-WEEKDAY(DATE(CalYear,6,1),IF(WeekStart="Monday",2,1))+1+2)=6,DATE(CalYear,6,1)-WEEKDAY(DATE(CalYear,6,1),IF(WeekStart="Monday",2,1))+1+2,"")</f>
        <v>0</v>
      </c>
      <c r="M17" s="11">
        <f>IF(MONTH(DATE(CalYear,6,1)-WEEKDAY(DATE(CalYear,6,1),IF(WeekStart="Monday",2,1))+1+3)=6,DATE(CalYear,6,1)-WEEKDAY(DATE(CalYear,6,1),IF(WeekStart="Monday",2,1))+1+3,"")</f>
        <v>0</v>
      </c>
      <c r="N17" s="11">
        <f>IF(MONTH(DATE(CalYear,6,1)-WEEKDAY(DATE(CalYear,6,1),IF(WeekStart="Monday",2,1))+1+4)=6,DATE(CalYear,6,1)-WEEKDAY(DATE(CalYear,6,1),IF(WeekStart="Monday",2,1))+1+4,"")</f>
        <v>0</v>
      </c>
      <c r="O17" s="11">
        <f>IF(MONTH(DATE(CalYear,6,1)-WEEKDAY(DATE(CalYear,6,1),IF(WeekStart="Monday",2,1))+1+5)=6,DATE(CalYear,6,1)-WEEKDAY(DATE(CalYear,6,1),IF(WeekStart="Monday",2,1))+1+5,"")</f>
        <v>0</v>
      </c>
      <c r="P17" s="11">
        <f>IF(MONTH(DATE(CalYear,6,1)-WEEKDAY(DATE(CalYear,6,1),IF(WeekStart="Monday",2,1))+1+6)=6,DATE(CalYear,6,1)-WEEKDAY(DATE(CalYear,6,1),IF(WeekStart="Monday",2,1))+1+6,"")</f>
        <v>0</v>
      </c>
      <c r="R17" s="11">
        <f>IF(MONTH(DATE(CalYear,7,1)-WEEKDAY(DATE(CalYear,7,1),IF(WeekStart="Monday",2,1))+1+0)=7,DATE(CalYear,7,1)-WEEKDAY(DATE(CalYear,7,1),IF(WeekStart="Monday",2,1))+1+0,"")</f>
        <v>0</v>
      </c>
      <c r="S17" s="11">
        <f>IF(MONTH(DATE(CalYear,7,1)-WEEKDAY(DATE(CalYear,7,1),IF(WeekStart="Monday",2,1))+1+1)=7,DATE(CalYear,7,1)-WEEKDAY(DATE(CalYear,7,1),IF(WeekStart="Monday",2,1))+1+1,"")</f>
        <v>0</v>
      </c>
      <c r="T17" s="11">
        <f>IF(MONTH(DATE(CalYear,7,1)-WEEKDAY(DATE(CalYear,7,1),IF(WeekStart="Monday",2,1))+1+2)=7,DATE(CalYear,7,1)-WEEKDAY(DATE(CalYear,7,1),IF(WeekStart="Monday",2,1))+1+2,"")</f>
        <v>0</v>
      </c>
      <c r="U17" s="11">
        <f>IF(MONTH(DATE(CalYear,7,1)-WEEKDAY(DATE(CalYear,7,1),IF(WeekStart="Monday",2,1))+1+3)=7,DATE(CalYear,7,1)-WEEKDAY(DATE(CalYear,7,1),IF(WeekStart="Monday",2,1))+1+3,"")</f>
        <v>0</v>
      </c>
      <c r="V17" s="11">
        <f>IF(MONTH(DATE(CalYear,7,1)-WEEKDAY(DATE(CalYear,7,1),IF(WeekStart="Monday",2,1))+1+4)=7,DATE(CalYear,7,1)-WEEKDAY(DATE(CalYear,7,1),IF(WeekStart="Monday",2,1))+1+4,"")</f>
        <v>0</v>
      </c>
      <c r="W17" s="11">
        <f>IF(MONTH(DATE(CalYear,7,1)-WEEKDAY(DATE(CalYear,7,1),IF(WeekStart="Monday",2,1))+1+5)=7,DATE(CalYear,7,1)-WEEKDAY(DATE(CalYear,7,1),IF(WeekStart="Monday",2,1))+1+5,"")</f>
        <v>0</v>
      </c>
      <c r="X17" s="11">
        <f>IF(MONTH(DATE(CalYear,7,1)-WEEKDAY(DATE(CalYear,7,1),IF(WeekStart="Monday",2,1))+1+6)=7,DATE(CalYear,7,1)-WEEKDAY(DATE(CalYear,7,1),IF(WeekStart="Monday",2,1))+1+6,"")</f>
        <v>0</v>
      </c>
      <c r="Z17" s="11">
        <f>IF(MONTH(DATE(CalYear,8,1)-WEEKDAY(DATE(CalYear,8,1),IF(WeekStart="Monday",2,1))+1+0)=8,DATE(CalYear,8,1)-WEEKDAY(DATE(CalYear,8,1),IF(WeekStart="Monday",2,1))+1+0,"")</f>
        <v>0</v>
      </c>
      <c r="AA17" s="11">
        <f>IF(MONTH(DATE(CalYear,8,1)-WEEKDAY(DATE(CalYear,8,1),IF(WeekStart="Monday",2,1))+1+1)=8,DATE(CalYear,8,1)-WEEKDAY(DATE(CalYear,8,1),IF(WeekStart="Monday",2,1))+1+1,"")</f>
        <v>0</v>
      </c>
      <c r="AB17" s="11">
        <f>IF(MONTH(DATE(CalYear,8,1)-WEEKDAY(DATE(CalYear,8,1),IF(WeekStart="Monday",2,1))+1+2)=8,DATE(CalYear,8,1)-WEEKDAY(DATE(CalYear,8,1),IF(WeekStart="Monday",2,1))+1+2,"")</f>
        <v>0</v>
      </c>
      <c r="AC17" s="11">
        <f>IF(MONTH(DATE(CalYear,8,1)-WEEKDAY(DATE(CalYear,8,1),IF(WeekStart="Monday",2,1))+1+3)=8,DATE(CalYear,8,1)-WEEKDAY(DATE(CalYear,8,1),IF(WeekStart="Monday",2,1))+1+3,"")</f>
        <v>0</v>
      </c>
      <c r="AD17" s="11">
        <f>IF(MONTH(DATE(CalYear,8,1)-WEEKDAY(DATE(CalYear,8,1),IF(WeekStart="Monday",2,1))+1+4)=8,DATE(CalYear,8,1)-WEEKDAY(DATE(CalYear,8,1),IF(WeekStart="Monday",2,1))+1+4,"")</f>
        <v>0</v>
      </c>
      <c r="AE17" s="11">
        <f>IF(MONTH(DATE(CalYear,8,1)-WEEKDAY(DATE(CalYear,8,1),IF(WeekStart="Monday",2,1))+1+5)=8,DATE(CalYear,8,1)-WEEKDAY(DATE(CalYear,8,1),IF(WeekStart="Monday",2,1))+1+5,"")</f>
        <v>0</v>
      </c>
      <c r="AF17" s="11">
        <f>IF(MONTH(DATE(CalYear,8,1)-WEEKDAY(DATE(CalYear,8,1),IF(WeekStart="Monday",2,1))+1+6)=8,DATE(CalYear,8,1)-WEEKDAY(DATE(CalYear,8,1),IF(WeekStart="Monday",2,1))+1+6,"")</f>
        <v>0</v>
      </c>
    </row>
    <row r="18" spans="2:32">
      <c r="B18" s="11">
        <f>IF(MONTH(DATE(CalYear,5,1)-WEEKDAY(DATE(CalYear,5,1),IF(WeekStart="Monday",2,1))+1+7)=5,DATE(CalYear,5,1)-WEEKDAY(DATE(CalYear,5,1),IF(WeekStart="Monday",2,1))+1+7,"")</f>
        <v>0</v>
      </c>
      <c r="C18" s="11">
        <f>IF(MONTH(DATE(CalYear,5,1)-WEEKDAY(DATE(CalYear,5,1),IF(WeekStart="Monday",2,1))+1+8)=5,DATE(CalYear,5,1)-WEEKDAY(DATE(CalYear,5,1),IF(WeekStart="Monday",2,1))+1+8,"")</f>
        <v>0</v>
      </c>
      <c r="D18" s="11">
        <f>IF(MONTH(DATE(CalYear,5,1)-WEEKDAY(DATE(CalYear,5,1),IF(WeekStart="Monday",2,1))+1+9)=5,DATE(CalYear,5,1)-WEEKDAY(DATE(CalYear,5,1),IF(WeekStart="Monday",2,1))+1+9,"")</f>
        <v>0</v>
      </c>
      <c r="E18" s="11">
        <f>IF(MONTH(DATE(CalYear,5,1)-WEEKDAY(DATE(CalYear,5,1),IF(WeekStart="Monday",2,1))+1+10)=5,DATE(CalYear,5,1)-WEEKDAY(DATE(CalYear,5,1),IF(WeekStart="Monday",2,1))+1+10,"")</f>
        <v>0</v>
      </c>
      <c r="F18" s="11">
        <f>IF(MONTH(DATE(CalYear,5,1)-WEEKDAY(DATE(CalYear,5,1),IF(WeekStart="Monday",2,1))+1+11)=5,DATE(CalYear,5,1)-WEEKDAY(DATE(CalYear,5,1),IF(WeekStart="Monday",2,1))+1+11,"")</f>
        <v>0</v>
      </c>
      <c r="G18" s="11">
        <f>IF(MONTH(DATE(CalYear,5,1)-WEEKDAY(DATE(CalYear,5,1),IF(WeekStart="Monday",2,1))+1+12)=5,DATE(CalYear,5,1)-WEEKDAY(DATE(CalYear,5,1),IF(WeekStart="Monday",2,1))+1+12,"")</f>
        <v>0</v>
      </c>
      <c r="H18" s="11">
        <f>IF(MONTH(DATE(CalYear,5,1)-WEEKDAY(DATE(CalYear,5,1),IF(WeekStart="Monday",2,1))+1+13)=5,DATE(CalYear,5,1)-WEEKDAY(DATE(CalYear,5,1),IF(WeekStart="Monday",2,1))+1+13,"")</f>
        <v>0</v>
      </c>
      <c r="J18" s="11">
        <f>IF(MONTH(DATE(CalYear,6,1)-WEEKDAY(DATE(CalYear,6,1),IF(WeekStart="Monday",2,1))+1+7)=6,DATE(CalYear,6,1)-WEEKDAY(DATE(CalYear,6,1),IF(WeekStart="Monday",2,1))+1+7,"")</f>
        <v>0</v>
      </c>
      <c r="K18" s="11">
        <f>IF(MONTH(DATE(CalYear,6,1)-WEEKDAY(DATE(CalYear,6,1),IF(WeekStart="Monday",2,1))+1+8)=6,DATE(CalYear,6,1)-WEEKDAY(DATE(CalYear,6,1),IF(WeekStart="Monday",2,1))+1+8,"")</f>
        <v>0</v>
      </c>
      <c r="L18" s="11">
        <f>IF(MONTH(DATE(CalYear,6,1)-WEEKDAY(DATE(CalYear,6,1),IF(WeekStart="Monday",2,1))+1+9)=6,DATE(CalYear,6,1)-WEEKDAY(DATE(CalYear,6,1),IF(WeekStart="Monday",2,1))+1+9,"")</f>
        <v>0</v>
      </c>
      <c r="M18" s="11">
        <f>IF(MONTH(DATE(CalYear,6,1)-WEEKDAY(DATE(CalYear,6,1),IF(WeekStart="Monday",2,1))+1+10)=6,DATE(CalYear,6,1)-WEEKDAY(DATE(CalYear,6,1),IF(WeekStart="Monday",2,1))+1+10,"")</f>
        <v>0</v>
      </c>
      <c r="N18" s="11">
        <f>IF(MONTH(DATE(CalYear,6,1)-WEEKDAY(DATE(CalYear,6,1),IF(WeekStart="Monday",2,1))+1+11)=6,DATE(CalYear,6,1)-WEEKDAY(DATE(CalYear,6,1),IF(WeekStart="Monday",2,1))+1+11,"")</f>
        <v>0</v>
      </c>
      <c r="O18" s="11">
        <f>IF(MONTH(DATE(CalYear,6,1)-WEEKDAY(DATE(CalYear,6,1),IF(WeekStart="Monday",2,1))+1+12)=6,DATE(CalYear,6,1)-WEEKDAY(DATE(CalYear,6,1),IF(WeekStart="Monday",2,1))+1+12,"")</f>
        <v>0</v>
      </c>
      <c r="P18" s="11">
        <f>IF(MONTH(DATE(CalYear,6,1)-WEEKDAY(DATE(CalYear,6,1),IF(WeekStart="Monday",2,1))+1+13)=6,DATE(CalYear,6,1)-WEEKDAY(DATE(CalYear,6,1),IF(WeekStart="Monday",2,1))+1+13,"")</f>
        <v>0</v>
      </c>
      <c r="R18" s="11">
        <f>IF(MONTH(DATE(CalYear,7,1)-WEEKDAY(DATE(CalYear,7,1),IF(WeekStart="Monday",2,1))+1+7)=7,DATE(CalYear,7,1)-WEEKDAY(DATE(CalYear,7,1),IF(WeekStart="Monday",2,1))+1+7,"")</f>
        <v>0</v>
      </c>
      <c r="S18" s="11">
        <f>IF(MONTH(DATE(CalYear,7,1)-WEEKDAY(DATE(CalYear,7,1),IF(WeekStart="Monday",2,1))+1+8)=7,DATE(CalYear,7,1)-WEEKDAY(DATE(CalYear,7,1),IF(WeekStart="Monday",2,1))+1+8,"")</f>
        <v>0</v>
      </c>
      <c r="T18" s="11">
        <f>IF(MONTH(DATE(CalYear,7,1)-WEEKDAY(DATE(CalYear,7,1),IF(WeekStart="Monday",2,1))+1+9)=7,DATE(CalYear,7,1)-WEEKDAY(DATE(CalYear,7,1),IF(WeekStart="Monday",2,1))+1+9,"")</f>
        <v>0</v>
      </c>
      <c r="U18" s="11">
        <f>IF(MONTH(DATE(CalYear,7,1)-WEEKDAY(DATE(CalYear,7,1),IF(WeekStart="Monday",2,1))+1+10)=7,DATE(CalYear,7,1)-WEEKDAY(DATE(CalYear,7,1),IF(WeekStart="Monday",2,1))+1+10,"")</f>
        <v>0</v>
      </c>
      <c r="V18" s="11">
        <f>IF(MONTH(DATE(CalYear,7,1)-WEEKDAY(DATE(CalYear,7,1),IF(WeekStart="Monday",2,1))+1+11)=7,DATE(CalYear,7,1)-WEEKDAY(DATE(CalYear,7,1),IF(WeekStart="Monday",2,1))+1+11,"")</f>
        <v>0</v>
      </c>
      <c r="W18" s="11">
        <f>IF(MONTH(DATE(CalYear,7,1)-WEEKDAY(DATE(CalYear,7,1),IF(WeekStart="Monday",2,1))+1+12)=7,DATE(CalYear,7,1)-WEEKDAY(DATE(CalYear,7,1),IF(WeekStart="Monday",2,1))+1+12,"")</f>
        <v>0</v>
      </c>
      <c r="X18" s="11">
        <f>IF(MONTH(DATE(CalYear,7,1)-WEEKDAY(DATE(CalYear,7,1),IF(WeekStart="Monday",2,1))+1+13)=7,DATE(CalYear,7,1)-WEEKDAY(DATE(CalYear,7,1),IF(WeekStart="Monday",2,1))+1+13,"")</f>
        <v>0</v>
      </c>
      <c r="Z18" s="11">
        <f>IF(MONTH(DATE(CalYear,8,1)-WEEKDAY(DATE(CalYear,8,1),IF(WeekStart="Monday",2,1))+1+7)=8,DATE(CalYear,8,1)-WEEKDAY(DATE(CalYear,8,1),IF(WeekStart="Monday",2,1))+1+7,"")</f>
        <v>0</v>
      </c>
      <c r="AA18" s="11">
        <f>IF(MONTH(DATE(CalYear,8,1)-WEEKDAY(DATE(CalYear,8,1),IF(WeekStart="Monday",2,1))+1+8)=8,DATE(CalYear,8,1)-WEEKDAY(DATE(CalYear,8,1),IF(WeekStart="Monday",2,1))+1+8,"")</f>
        <v>0</v>
      </c>
      <c r="AB18" s="11">
        <f>IF(MONTH(DATE(CalYear,8,1)-WEEKDAY(DATE(CalYear,8,1),IF(WeekStart="Monday",2,1))+1+9)=8,DATE(CalYear,8,1)-WEEKDAY(DATE(CalYear,8,1),IF(WeekStart="Monday",2,1))+1+9,"")</f>
        <v>0</v>
      </c>
      <c r="AC18" s="11">
        <f>IF(MONTH(DATE(CalYear,8,1)-WEEKDAY(DATE(CalYear,8,1),IF(WeekStart="Monday",2,1))+1+10)=8,DATE(CalYear,8,1)-WEEKDAY(DATE(CalYear,8,1),IF(WeekStart="Monday",2,1))+1+10,"")</f>
        <v>0</v>
      </c>
      <c r="AD18" s="11">
        <f>IF(MONTH(DATE(CalYear,8,1)-WEEKDAY(DATE(CalYear,8,1),IF(WeekStart="Monday",2,1))+1+11)=8,DATE(CalYear,8,1)-WEEKDAY(DATE(CalYear,8,1),IF(WeekStart="Monday",2,1))+1+11,"")</f>
        <v>0</v>
      </c>
      <c r="AE18" s="11">
        <f>IF(MONTH(DATE(CalYear,8,1)-WEEKDAY(DATE(CalYear,8,1),IF(WeekStart="Monday",2,1))+1+12)=8,DATE(CalYear,8,1)-WEEKDAY(DATE(CalYear,8,1),IF(WeekStart="Monday",2,1))+1+12,"")</f>
        <v>0</v>
      </c>
      <c r="AF18" s="11">
        <f>IF(MONTH(DATE(CalYear,8,1)-WEEKDAY(DATE(CalYear,8,1),IF(WeekStart="Monday",2,1))+1+13)=8,DATE(CalYear,8,1)-WEEKDAY(DATE(CalYear,8,1),IF(WeekStart="Monday",2,1))+1+13,"")</f>
        <v>0</v>
      </c>
    </row>
    <row r="19" spans="2:32">
      <c r="B19" s="11">
        <f>IF(MONTH(DATE(CalYear,5,1)-WEEKDAY(DATE(CalYear,5,1),IF(WeekStart="Monday",2,1))+1+14)=5,DATE(CalYear,5,1)-WEEKDAY(DATE(CalYear,5,1),IF(WeekStart="Monday",2,1))+1+14,"")</f>
        <v>0</v>
      </c>
      <c r="C19" s="11">
        <f>IF(MONTH(DATE(CalYear,5,1)-WEEKDAY(DATE(CalYear,5,1),IF(WeekStart="Monday",2,1))+1+15)=5,DATE(CalYear,5,1)-WEEKDAY(DATE(CalYear,5,1),IF(WeekStart="Monday",2,1))+1+15,"")</f>
        <v>0</v>
      </c>
      <c r="D19" s="11">
        <f>IF(MONTH(DATE(CalYear,5,1)-WEEKDAY(DATE(CalYear,5,1),IF(WeekStart="Monday",2,1))+1+16)=5,DATE(CalYear,5,1)-WEEKDAY(DATE(CalYear,5,1),IF(WeekStart="Monday",2,1))+1+16,"")</f>
        <v>0</v>
      </c>
      <c r="E19" s="11">
        <f>IF(MONTH(DATE(CalYear,5,1)-WEEKDAY(DATE(CalYear,5,1),IF(WeekStart="Monday",2,1))+1+17)=5,DATE(CalYear,5,1)-WEEKDAY(DATE(CalYear,5,1),IF(WeekStart="Monday",2,1))+1+17,"")</f>
        <v>0</v>
      </c>
      <c r="F19" s="11">
        <f>IF(MONTH(DATE(CalYear,5,1)-WEEKDAY(DATE(CalYear,5,1),IF(WeekStart="Monday",2,1))+1+18)=5,DATE(CalYear,5,1)-WEEKDAY(DATE(CalYear,5,1),IF(WeekStart="Monday",2,1))+1+18,"")</f>
        <v>0</v>
      </c>
      <c r="G19" s="11">
        <f>IF(MONTH(DATE(CalYear,5,1)-WEEKDAY(DATE(CalYear,5,1),IF(WeekStart="Monday",2,1))+1+19)=5,DATE(CalYear,5,1)-WEEKDAY(DATE(CalYear,5,1),IF(WeekStart="Monday",2,1))+1+19,"")</f>
        <v>0</v>
      </c>
      <c r="H19" s="11">
        <f>IF(MONTH(DATE(CalYear,5,1)-WEEKDAY(DATE(CalYear,5,1),IF(WeekStart="Monday",2,1))+1+20)=5,DATE(CalYear,5,1)-WEEKDAY(DATE(CalYear,5,1),IF(WeekStart="Monday",2,1))+1+20,"")</f>
        <v>0</v>
      </c>
      <c r="J19" s="11">
        <f>IF(MONTH(DATE(CalYear,6,1)-WEEKDAY(DATE(CalYear,6,1),IF(WeekStart="Monday",2,1))+1+14)=6,DATE(CalYear,6,1)-WEEKDAY(DATE(CalYear,6,1),IF(WeekStart="Monday",2,1))+1+14,"")</f>
        <v>0</v>
      </c>
      <c r="K19" s="11">
        <f>IF(MONTH(DATE(CalYear,6,1)-WEEKDAY(DATE(CalYear,6,1),IF(WeekStart="Monday",2,1))+1+15)=6,DATE(CalYear,6,1)-WEEKDAY(DATE(CalYear,6,1),IF(WeekStart="Monday",2,1))+1+15,"")</f>
        <v>0</v>
      </c>
      <c r="L19" s="11">
        <f>IF(MONTH(DATE(CalYear,6,1)-WEEKDAY(DATE(CalYear,6,1),IF(WeekStart="Monday",2,1))+1+16)=6,DATE(CalYear,6,1)-WEEKDAY(DATE(CalYear,6,1),IF(WeekStart="Monday",2,1))+1+16,"")</f>
        <v>0</v>
      </c>
      <c r="M19" s="11">
        <f>IF(MONTH(DATE(CalYear,6,1)-WEEKDAY(DATE(CalYear,6,1),IF(WeekStart="Monday",2,1))+1+17)=6,DATE(CalYear,6,1)-WEEKDAY(DATE(CalYear,6,1),IF(WeekStart="Monday",2,1))+1+17,"")</f>
        <v>0</v>
      </c>
      <c r="N19" s="11">
        <f>IF(MONTH(DATE(CalYear,6,1)-WEEKDAY(DATE(CalYear,6,1),IF(WeekStart="Monday",2,1))+1+18)=6,DATE(CalYear,6,1)-WEEKDAY(DATE(CalYear,6,1),IF(WeekStart="Monday",2,1))+1+18,"")</f>
        <v>0</v>
      </c>
      <c r="O19" s="11">
        <f>IF(MONTH(DATE(CalYear,6,1)-WEEKDAY(DATE(CalYear,6,1),IF(WeekStart="Monday",2,1))+1+19)=6,DATE(CalYear,6,1)-WEEKDAY(DATE(CalYear,6,1),IF(WeekStart="Monday",2,1))+1+19,"")</f>
        <v>0</v>
      </c>
      <c r="P19" s="11">
        <f>IF(MONTH(DATE(CalYear,6,1)-WEEKDAY(DATE(CalYear,6,1),IF(WeekStart="Monday",2,1))+1+20)=6,DATE(CalYear,6,1)-WEEKDAY(DATE(CalYear,6,1),IF(WeekStart="Monday",2,1))+1+20,"")</f>
        <v>0</v>
      </c>
      <c r="R19" s="11">
        <f>IF(MONTH(DATE(CalYear,7,1)-WEEKDAY(DATE(CalYear,7,1),IF(WeekStart="Monday",2,1))+1+14)=7,DATE(CalYear,7,1)-WEEKDAY(DATE(CalYear,7,1),IF(WeekStart="Monday",2,1))+1+14,"")</f>
        <v>0</v>
      </c>
      <c r="S19" s="11">
        <f>IF(MONTH(DATE(CalYear,7,1)-WEEKDAY(DATE(CalYear,7,1),IF(WeekStart="Monday",2,1))+1+15)=7,DATE(CalYear,7,1)-WEEKDAY(DATE(CalYear,7,1),IF(WeekStart="Monday",2,1))+1+15,"")</f>
        <v>0</v>
      </c>
      <c r="T19" s="11">
        <f>IF(MONTH(DATE(CalYear,7,1)-WEEKDAY(DATE(CalYear,7,1),IF(WeekStart="Monday",2,1))+1+16)=7,DATE(CalYear,7,1)-WEEKDAY(DATE(CalYear,7,1),IF(WeekStart="Monday",2,1))+1+16,"")</f>
        <v>0</v>
      </c>
      <c r="U19" s="11">
        <f>IF(MONTH(DATE(CalYear,7,1)-WEEKDAY(DATE(CalYear,7,1),IF(WeekStart="Monday",2,1))+1+17)=7,DATE(CalYear,7,1)-WEEKDAY(DATE(CalYear,7,1),IF(WeekStart="Monday",2,1))+1+17,"")</f>
        <v>0</v>
      </c>
      <c r="V19" s="11">
        <f>IF(MONTH(DATE(CalYear,7,1)-WEEKDAY(DATE(CalYear,7,1),IF(WeekStart="Monday",2,1))+1+18)=7,DATE(CalYear,7,1)-WEEKDAY(DATE(CalYear,7,1),IF(WeekStart="Monday",2,1))+1+18,"")</f>
        <v>0</v>
      </c>
      <c r="W19" s="11">
        <f>IF(MONTH(DATE(CalYear,7,1)-WEEKDAY(DATE(CalYear,7,1),IF(WeekStart="Monday",2,1))+1+19)=7,DATE(CalYear,7,1)-WEEKDAY(DATE(CalYear,7,1),IF(WeekStart="Monday",2,1))+1+19,"")</f>
        <v>0</v>
      </c>
      <c r="X19" s="11">
        <f>IF(MONTH(DATE(CalYear,7,1)-WEEKDAY(DATE(CalYear,7,1),IF(WeekStart="Monday",2,1))+1+20)=7,DATE(CalYear,7,1)-WEEKDAY(DATE(CalYear,7,1),IF(WeekStart="Monday",2,1))+1+20,"")</f>
        <v>0</v>
      </c>
      <c r="Z19" s="11">
        <f>IF(MONTH(DATE(CalYear,8,1)-WEEKDAY(DATE(CalYear,8,1),IF(WeekStart="Monday",2,1))+1+14)=8,DATE(CalYear,8,1)-WEEKDAY(DATE(CalYear,8,1),IF(WeekStart="Monday",2,1))+1+14,"")</f>
        <v>0</v>
      </c>
      <c r="AA19" s="11">
        <f>IF(MONTH(DATE(CalYear,8,1)-WEEKDAY(DATE(CalYear,8,1),IF(WeekStart="Monday",2,1))+1+15)=8,DATE(CalYear,8,1)-WEEKDAY(DATE(CalYear,8,1),IF(WeekStart="Monday",2,1))+1+15,"")</f>
        <v>0</v>
      </c>
      <c r="AB19" s="11">
        <f>IF(MONTH(DATE(CalYear,8,1)-WEEKDAY(DATE(CalYear,8,1),IF(WeekStart="Monday",2,1))+1+16)=8,DATE(CalYear,8,1)-WEEKDAY(DATE(CalYear,8,1),IF(WeekStart="Monday",2,1))+1+16,"")</f>
        <v>0</v>
      </c>
      <c r="AC19" s="11">
        <f>IF(MONTH(DATE(CalYear,8,1)-WEEKDAY(DATE(CalYear,8,1),IF(WeekStart="Monday",2,1))+1+17)=8,DATE(CalYear,8,1)-WEEKDAY(DATE(CalYear,8,1),IF(WeekStart="Monday",2,1))+1+17,"")</f>
        <v>0</v>
      </c>
      <c r="AD19" s="11">
        <f>IF(MONTH(DATE(CalYear,8,1)-WEEKDAY(DATE(CalYear,8,1),IF(WeekStart="Monday",2,1))+1+18)=8,DATE(CalYear,8,1)-WEEKDAY(DATE(CalYear,8,1),IF(WeekStart="Monday",2,1))+1+18,"")</f>
        <v>0</v>
      </c>
      <c r="AE19" s="11">
        <f>IF(MONTH(DATE(CalYear,8,1)-WEEKDAY(DATE(CalYear,8,1),IF(WeekStart="Monday",2,1))+1+19)=8,DATE(CalYear,8,1)-WEEKDAY(DATE(CalYear,8,1),IF(WeekStart="Monday",2,1))+1+19,"")</f>
        <v>0</v>
      </c>
      <c r="AF19" s="11">
        <f>IF(MONTH(DATE(CalYear,8,1)-WEEKDAY(DATE(CalYear,8,1),IF(WeekStart="Monday",2,1))+1+20)=8,DATE(CalYear,8,1)-WEEKDAY(DATE(CalYear,8,1),IF(WeekStart="Monday",2,1))+1+20,"")</f>
        <v>0</v>
      </c>
    </row>
    <row r="20" spans="2:32">
      <c r="B20" s="11">
        <f>IF(MONTH(DATE(CalYear,5,1)-WEEKDAY(DATE(CalYear,5,1),IF(WeekStart="Monday",2,1))+1+21)=5,DATE(CalYear,5,1)-WEEKDAY(DATE(CalYear,5,1),IF(WeekStart="Monday",2,1))+1+21,"")</f>
        <v>0</v>
      </c>
      <c r="C20" s="11">
        <f>IF(MONTH(DATE(CalYear,5,1)-WEEKDAY(DATE(CalYear,5,1),IF(WeekStart="Monday",2,1))+1+22)=5,DATE(CalYear,5,1)-WEEKDAY(DATE(CalYear,5,1),IF(WeekStart="Monday",2,1))+1+22,"")</f>
        <v>0</v>
      </c>
      <c r="D20" s="11">
        <f>IF(MONTH(DATE(CalYear,5,1)-WEEKDAY(DATE(CalYear,5,1),IF(WeekStart="Monday",2,1))+1+23)=5,DATE(CalYear,5,1)-WEEKDAY(DATE(CalYear,5,1),IF(WeekStart="Monday",2,1))+1+23,"")</f>
        <v>0</v>
      </c>
      <c r="E20" s="11">
        <f>IF(MONTH(DATE(CalYear,5,1)-WEEKDAY(DATE(CalYear,5,1),IF(WeekStart="Monday",2,1))+1+24)=5,DATE(CalYear,5,1)-WEEKDAY(DATE(CalYear,5,1),IF(WeekStart="Monday",2,1))+1+24,"")</f>
        <v>0</v>
      </c>
      <c r="F20" s="11">
        <f>IF(MONTH(DATE(CalYear,5,1)-WEEKDAY(DATE(CalYear,5,1),IF(WeekStart="Monday",2,1))+1+25)=5,DATE(CalYear,5,1)-WEEKDAY(DATE(CalYear,5,1),IF(WeekStart="Monday",2,1))+1+25,"")</f>
        <v>0</v>
      </c>
      <c r="G20" s="11">
        <f>IF(MONTH(DATE(CalYear,5,1)-WEEKDAY(DATE(CalYear,5,1),IF(WeekStart="Monday",2,1))+1+26)=5,DATE(CalYear,5,1)-WEEKDAY(DATE(CalYear,5,1),IF(WeekStart="Monday",2,1))+1+26,"")</f>
        <v>0</v>
      </c>
      <c r="H20" s="11">
        <f>IF(MONTH(DATE(CalYear,5,1)-WEEKDAY(DATE(CalYear,5,1),IF(WeekStart="Monday",2,1))+1+27)=5,DATE(CalYear,5,1)-WEEKDAY(DATE(CalYear,5,1),IF(WeekStart="Monday",2,1))+1+27,"")</f>
        <v>0</v>
      </c>
      <c r="J20" s="11">
        <f>IF(MONTH(DATE(CalYear,6,1)-WEEKDAY(DATE(CalYear,6,1),IF(WeekStart="Monday",2,1))+1+21)=6,DATE(CalYear,6,1)-WEEKDAY(DATE(CalYear,6,1),IF(WeekStart="Monday",2,1))+1+21,"")</f>
        <v>0</v>
      </c>
      <c r="K20" s="11">
        <f>IF(MONTH(DATE(CalYear,6,1)-WEEKDAY(DATE(CalYear,6,1),IF(WeekStart="Monday",2,1))+1+22)=6,DATE(CalYear,6,1)-WEEKDAY(DATE(CalYear,6,1),IF(WeekStart="Monday",2,1))+1+22,"")</f>
        <v>0</v>
      </c>
      <c r="L20" s="11">
        <f>IF(MONTH(DATE(CalYear,6,1)-WEEKDAY(DATE(CalYear,6,1),IF(WeekStart="Monday",2,1))+1+23)=6,DATE(CalYear,6,1)-WEEKDAY(DATE(CalYear,6,1),IF(WeekStart="Monday",2,1))+1+23,"")</f>
        <v>0</v>
      </c>
      <c r="M20" s="11">
        <f>IF(MONTH(DATE(CalYear,6,1)-WEEKDAY(DATE(CalYear,6,1),IF(WeekStart="Monday",2,1))+1+24)=6,DATE(CalYear,6,1)-WEEKDAY(DATE(CalYear,6,1),IF(WeekStart="Monday",2,1))+1+24,"")</f>
        <v>0</v>
      </c>
      <c r="N20" s="11">
        <f>IF(MONTH(DATE(CalYear,6,1)-WEEKDAY(DATE(CalYear,6,1),IF(WeekStart="Monday",2,1))+1+25)=6,DATE(CalYear,6,1)-WEEKDAY(DATE(CalYear,6,1),IF(WeekStart="Monday",2,1))+1+25,"")</f>
        <v>0</v>
      </c>
      <c r="O20" s="11">
        <f>IF(MONTH(DATE(CalYear,6,1)-WEEKDAY(DATE(CalYear,6,1),IF(WeekStart="Monday",2,1))+1+26)=6,DATE(CalYear,6,1)-WEEKDAY(DATE(CalYear,6,1),IF(WeekStart="Monday",2,1))+1+26,"")</f>
        <v>0</v>
      </c>
      <c r="P20" s="11">
        <f>IF(MONTH(DATE(CalYear,6,1)-WEEKDAY(DATE(CalYear,6,1),IF(WeekStart="Monday",2,1))+1+27)=6,DATE(CalYear,6,1)-WEEKDAY(DATE(CalYear,6,1),IF(WeekStart="Monday",2,1))+1+27,"")</f>
        <v>0</v>
      </c>
      <c r="R20" s="11">
        <f>IF(MONTH(DATE(CalYear,7,1)-WEEKDAY(DATE(CalYear,7,1),IF(WeekStart="Monday",2,1))+1+21)=7,DATE(CalYear,7,1)-WEEKDAY(DATE(CalYear,7,1),IF(WeekStart="Monday",2,1))+1+21,"")</f>
        <v>0</v>
      </c>
      <c r="S20" s="11">
        <f>IF(MONTH(DATE(CalYear,7,1)-WEEKDAY(DATE(CalYear,7,1),IF(WeekStart="Monday",2,1))+1+22)=7,DATE(CalYear,7,1)-WEEKDAY(DATE(CalYear,7,1),IF(WeekStart="Monday",2,1))+1+22,"")</f>
        <v>0</v>
      </c>
      <c r="T20" s="11">
        <f>IF(MONTH(DATE(CalYear,7,1)-WEEKDAY(DATE(CalYear,7,1),IF(WeekStart="Monday",2,1))+1+23)=7,DATE(CalYear,7,1)-WEEKDAY(DATE(CalYear,7,1),IF(WeekStart="Monday",2,1))+1+23,"")</f>
        <v>0</v>
      </c>
      <c r="U20" s="11">
        <f>IF(MONTH(DATE(CalYear,7,1)-WEEKDAY(DATE(CalYear,7,1),IF(WeekStart="Monday",2,1))+1+24)=7,DATE(CalYear,7,1)-WEEKDAY(DATE(CalYear,7,1),IF(WeekStart="Monday",2,1))+1+24,"")</f>
        <v>0</v>
      </c>
      <c r="V20" s="11">
        <f>IF(MONTH(DATE(CalYear,7,1)-WEEKDAY(DATE(CalYear,7,1),IF(WeekStart="Monday",2,1))+1+25)=7,DATE(CalYear,7,1)-WEEKDAY(DATE(CalYear,7,1),IF(WeekStart="Monday",2,1))+1+25,"")</f>
        <v>0</v>
      </c>
      <c r="W20" s="11">
        <f>IF(MONTH(DATE(CalYear,7,1)-WEEKDAY(DATE(CalYear,7,1),IF(WeekStart="Monday",2,1))+1+26)=7,DATE(CalYear,7,1)-WEEKDAY(DATE(CalYear,7,1),IF(WeekStart="Monday",2,1))+1+26,"")</f>
        <v>0</v>
      </c>
      <c r="X20" s="11">
        <f>IF(MONTH(DATE(CalYear,7,1)-WEEKDAY(DATE(CalYear,7,1),IF(WeekStart="Monday",2,1))+1+27)=7,DATE(CalYear,7,1)-WEEKDAY(DATE(CalYear,7,1),IF(WeekStart="Monday",2,1))+1+27,"")</f>
        <v>0</v>
      </c>
      <c r="Z20" s="11">
        <f>IF(MONTH(DATE(CalYear,8,1)-WEEKDAY(DATE(CalYear,8,1),IF(WeekStart="Monday",2,1))+1+21)=8,DATE(CalYear,8,1)-WEEKDAY(DATE(CalYear,8,1),IF(WeekStart="Monday",2,1))+1+21,"")</f>
        <v>0</v>
      </c>
      <c r="AA20" s="11">
        <f>IF(MONTH(DATE(CalYear,8,1)-WEEKDAY(DATE(CalYear,8,1),IF(WeekStart="Monday",2,1))+1+22)=8,DATE(CalYear,8,1)-WEEKDAY(DATE(CalYear,8,1),IF(WeekStart="Monday",2,1))+1+22,"")</f>
        <v>0</v>
      </c>
      <c r="AB20" s="11">
        <f>IF(MONTH(DATE(CalYear,8,1)-WEEKDAY(DATE(CalYear,8,1),IF(WeekStart="Monday",2,1))+1+23)=8,DATE(CalYear,8,1)-WEEKDAY(DATE(CalYear,8,1),IF(WeekStart="Monday",2,1))+1+23,"")</f>
        <v>0</v>
      </c>
      <c r="AC20" s="11">
        <f>IF(MONTH(DATE(CalYear,8,1)-WEEKDAY(DATE(CalYear,8,1),IF(WeekStart="Monday",2,1))+1+24)=8,DATE(CalYear,8,1)-WEEKDAY(DATE(CalYear,8,1),IF(WeekStart="Monday",2,1))+1+24,"")</f>
        <v>0</v>
      </c>
      <c r="AD20" s="11">
        <f>IF(MONTH(DATE(CalYear,8,1)-WEEKDAY(DATE(CalYear,8,1),IF(WeekStart="Monday",2,1))+1+25)=8,DATE(CalYear,8,1)-WEEKDAY(DATE(CalYear,8,1),IF(WeekStart="Monday",2,1))+1+25,"")</f>
        <v>0</v>
      </c>
      <c r="AE20" s="11">
        <f>IF(MONTH(DATE(CalYear,8,1)-WEEKDAY(DATE(CalYear,8,1),IF(WeekStart="Monday",2,1))+1+26)=8,DATE(CalYear,8,1)-WEEKDAY(DATE(CalYear,8,1),IF(WeekStart="Monday",2,1))+1+26,"")</f>
        <v>0</v>
      </c>
      <c r="AF20" s="11">
        <f>IF(MONTH(DATE(CalYear,8,1)-WEEKDAY(DATE(CalYear,8,1),IF(WeekStart="Monday",2,1))+1+27)=8,DATE(CalYear,8,1)-WEEKDAY(DATE(CalYear,8,1),IF(WeekStart="Monday",2,1))+1+27,"")</f>
        <v>0</v>
      </c>
    </row>
    <row r="21" spans="2:32">
      <c r="B21" s="11">
        <f>IF(MONTH(DATE(CalYear,5,1)-WEEKDAY(DATE(CalYear,5,1),IF(WeekStart="Monday",2,1))+1+28)=5,DATE(CalYear,5,1)-WEEKDAY(DATE(CalYear,5,1),IF(WeekStart="Monday",2,1))+1+28,"")</f>
        <v>0</v>
      </c>
      <c r="C21" s="11">
        <f>IF(MONTH(DATE(CalYear,5,1)-WEEKDAY(DATE(CalYear,5,1),IF(WeekStart="Monday",2,1))+1+29)=5,DATE(CalYear,5,1)-WEEKDAY(DATE(CalYear,5,1),IF(WeekStart="Monday",2,1))+1+29,"")</f>
        <v>0</v>
      </c>
      <c r="D21" s="11">
        <f>IF(MONTH(DATE(CalYear,5,1)-WEEKDAY(DATE(CalYear,5,1),IF(WeekStart="Monday",2,1))+1+30)=5,DATE(CalYear,5,1)-WEEKDAY(DATE(CalYear,5,1),IF(WeekStart="Monday",2,1))+1+30,"")</f>
        <v>0</v>
      </c>
      <c r="E21" s="11">
        <f>IF(MONTH(DATE(CalYear,5,1)-WEEKDAY(DATE(CalYear,5,1),IF(WeekStart="Monday",2,1))+1+31)=5,DATE(CalYear,5,1)-WEEKDAY(DATE(CalYear,5,1),IF(WeekStart="Monday",2,1))+1+31,"")</f>
        <v>0</v>
      </c>
      <c r="F21" s="11">
        <f>IF(MONTH(DATE(CalYear,5,1)-WEEKDAY(DATE(CalYear,5,1),IF(WeekStart="Monday",2,1))+1+32)=5,DATE(CalYear,5,1)-WEEKDAY(DATE(CalYear,5,1),IF(WeekStart="Monday",2,1))+1+32,"")</f>
        <v>0</v>
      </c>
      <c r="G21" s="11">
        <f>IF(MONTH(DATE(CalYear,5,1)-WEEKDAY(DATE(CalYear,5,1),IF(WeekStart="Monday",2,1))+1+33)=5,DATE(CalYear,5,1)-WEEKDAY(DATE(CalYear,5,1),IF(WeekStart="Monday",2,1))+1+33,"")</f>
        <v>0</v>
      </c>
      <c r="H21" s="11">
        <f>IF(MONTH(DATE(CalYear,5,1)-WEEKDAY(DATE(CalYear,5,1),IF(WeekStart="Monday",2,1))+1+34)=5,DATE(CalYear,5,1)-WEEKDAY(DATE(CalYear,5,1),IF(WeekStart="Monday",2,1))+1+34,"")</f>
        <v>0</v>
      </c>
      <c r="J21" s="11">
        <f>IF(MONTH(DATE(CalYear,6,1)-WEEKDAY(DATE(CalYear,6,1),IF(WeekStart="Monday",2,1))+1+28)=6,DATE(CalYear,6,1)-WEEKDAY(DATE(CalYear,6,1),IF(WeekStart="Monday",2,1))+1+28,"")</f>
        <v>0</v>
      </c>
      <c r="K21" s="11">
        <f>IF(MONTH(DATE(CalYear,6,1)-WEEKDAY(DATE(CalYear,6,1),IF(WeekStart="Monday",2,1))+1+29)=6,DATE(CalYear,6,1)-WEEKDAY(DATE(CalYear,6,1),IF(WeekStart="Monday",2,1))+1+29,"")</f>
        <v>0</v>
      </c>
      <c r="L21" s="11">
        <f>IF(MONTH(DATE(CalYear,6,1)-WEEKDAY(DATE(CalYear,6,1),IF(WeekStart="Monday",2,1))+1+30)=6,DATE(CalYear,6,1)-WEEKDAY(DATE(CalYear,6,1),IF(WeekStart="Monday",2,1))+1+30,"")</f>
        <v>0</v>
      </c>
      <c r="M21" s="11">
        <f>IF(MONTH(DATE(CalYear,6,1)-WEEKDAY(DATE(CalYear,6,1),IF(WeekStart="Monday",2,1))+1+31)=6,DATE(CalYear,6,1)-WEEKDAY(DATE(CalYear,6,1),IF(WeekStart="Monday",2,1))+1+31,"")</f>
        <v>0</v>
      </c>
      <c r="N21" s="11">
        <f>IF(MONTH(DATE(CalYear,6,1)-WEEKDAY(DATE(CalYear,6,1),IF(WeekStart="Monday",2,1))+1+32)=6,DATE(CalYear,6,1)-WEEKDAY(DATE(CalYear,6,1),IF(WeekStart="Monday",2,1))+1+32,"")</f>
        <v>0</v>
      </c>
      <c r="O21" s="11">
        <f>IF(MONTH(DATE(CalYear,6,1)-WEEKDAY(DATE(CalYear,6,1),IF(WeekStart="Monday",2,1))+1+33)=6,DATE(CalYear,6,1)-WEEKDAY(DATE(CalYear,6,1),IF(WeekStart="Monday",2,1))+1+33,"")</f>
        <v>0</v>
      </c>
      <c r="P21" s="11">
        <f>IF(MONTH(DATE(CalYear,6,1)-WEEKDAY(DATE(CalYear,6,1),IF(WeekStart="Monday",2,1))+1+34)=6,DATE(CalYear,6,1)-WEEKDAY(DATE(CalYear,6,1),IF(WeekStart="Monday",2,1))+1+34,"")</f>
        <v>0</v>
      </c>
      <c r="R21" s="11">
        <f>IF(MONTH(DATE(CalYear,7,1)-WEEKDAY(DATE(CalYear,7,1),IF(WeekStart="Monday",2,1))+1+28)=7,DATE(CalYear,7,1)-WEEKDAY(DATE(CalYear,7,1),IF(WeekStart="Monday",2,1))+1+28,"")</f>
        <v>0</v>
      </c>
      <c r="S21" s="11">
        <f>IF(MONTH(DATE(CalYear,7,1)-WEEKDAY(DATE(CalYear,7,1),IF(WeekStart="Monday",2,1))+1+29)=7,DATE(CalYear,7,1)-WEEKDAY(DATE(CalYear,7,1),IF(WeekStart="Monday",2,1))+1+29,"")</f>
        <v>0</v>
      </c>
      <c r="T21" s="11">
        <f>IF(MONTH(DATE(CalYear,7,1)-WEEKDAY(DATE(CalYear,7,1),IF(WeekStart="Monday",2,1))+1+30)=7,DATE(CalYear,7,1)-WEEKDAY(DATE(CalYear,7,1),IF(WeekStart="Monday",2,1))+1+30,"")</f>
        <v>0</v>
      </c>
      <c r="U21" s="11">
        <f>IF(MONTH(DATE(CalYear,7,1)-WEEKDAY(DATE(CalYear,7,1),IF(WeekStart="Monday",2,1))+1+31)=7,DATE(CalYear,7,1)-WEEKDAY(DATE(CalYear,7,1),IF(WeekStart="Monday",2,1))+1+31,"")</f>
        <v>0</v>
      </c>
      <c r="V21" s="11">
        <f>IF(MONTH(DATE(CalYear,7,1)-WEEKDAY(DATE(CalYear,7,1),IF(WeekStart="Monday",2,1))+1+32)=7,DATE(CalYear,7,1)-WEEKDAY(DATE(CalYear,7,1),IF(WeekStart="Monday",2,1))+1+32,"")</f>
        <v>0</v>
      </c>
      <c r="W21" s="11">
        <f>IF(MONTH(DATE(CalYear,7,1)-WEEKDAY(DATE(CalYear,7,1),IF(WeekStart="Monday",2,1))+1+33)=7,DATE(CalYear,7,1)-WEEKDAY(DATE(CalYear,7,1),IF(WeekStart="Monday",2,1))+1+33,"")</f>
        <v>0</v>
      </c>
      <c r="X21" s="11">
        <f>IF(MONTH(DATE(CalYear,7,1)-WEEKDAY(DATE(CalYear,7,1),IF(WeekStart="Monday",2,1))+1+34)=7,DATE(CalYear,7,1)-WEEKDAY(DATE(CalYear,7,1),IF(WeekStart="Monday",2,1))+1+34,"")</f>
        <v>0</v>
      </c>
      <c r="Z21" s="11">
        <f>IF(MONTH(DATE(CalYear,8,1)-WEEKDAY(DATE(CalYear,8,1),IF(WeekStart="Monday",2,1))+1+28)=8,DATE(CalYear,8,1)-WEEKDAY(DATE(CalYear,8,1),IF(WeekStart="Monday",2,1))+1+28,"")</f>
        <v>0</v>
      </c>
      <c r="AA21" s="11">
        <f>IF(MONTH(DATE(CalYear,8,1)-WEEKDAY(DATE(CalYear,8,1),IF(WeekStart="Monday",2,1))+1+29)=8,DATE(CalYear,8,1)-WEEKDAY(DATE(CalYear,8,1),IF(WeekStart="Monday",2,1))+1+29,"")</f>
        <v>0</v>
      </c>
      <c r="AB21" s="11">
        <f>IF(MONTH(DATE(CalYear,8,1)-WEEKDAY(DATE(CalYear,8,1),IF(WeekStart="Monday",2,1))+1+30)=8,DATE(CalYear,8,1)-WEEKDAY(DATE(CalYear,8,1),IF(WeekStart="Monday",2,1))+1+30,"")</f>
        <v>0</v>
      </c>
      <c r="AC21" s="11">
        <f>IF(MONTH(DATE(CalYear,8,1)-WEEKDAY(DATE(CalYear,8,1),IF(WeekStart="Monday",2,1))+1+31)=8,DATE(CalYear,8,1)-WEEKDAY(DATE(CalYear,8,1),IF(WeekStart="Monday",2,1))+1+31,"")</f>
        <v>0</v>
      </c>
      <c r="AD21" s="11">
        <f>IF(MONTH(DATE(CalYear,8,1)-WEEKDAY(DATE(CalYear,8,1),IF(WeekStart="Monday",2,1))+1+32)=8,DATE(CalYear,8,1)-WEEKDAY(DATE(CalYear,8,1),IF(WeekStart="Monday",2,1))+1+32,"")</f>
        <v>0</v>
      </c>
      <c r="AE21" s="11">
        <f>IF(MONTH(DATE(CalYear,8,1)-WEEKDAY(DATE(CalYear,8,1),IF(WeekStart="Monday",2,1))+1+33)=8,DATE(CalYear,8,1)-WEEKDAY(DATE(CalYear,8,1),IF(WeekStart="Monday",2,1))+1+33,"")</f>
        <v>0</v>
      </c>
      <c r="AF21" s="11">
        <f>IF(MONTH(DATE(CalYear,8,1)-WEEKDAY(DATE(CalYear,8,1),IF(WeekStart="Monday",2,1))+1+34)=8,DATE(CalYear,8,1)-WEEKDAY(DATE(CalYear,8,1),IF(WeekStart="Monday",2,1))+1+34,"")</f>
        <v>0</v>
      </c>
    </row>
    <row r="22" spans="2:32">
      <c r="B22" s="11">
        <f>IF(MONTH(DATE(CalYear,5,1)-WEEKDAY(DATE(CalYear,5,1),IF(WeekStart="Monday",2,1))+1+35)=5,DATE(CalYear,5,1)-WEEKDAY(DATE(CalYear,5,1),IF(WeekStart="Monday",2,1))+1+35,"")</f>
        <v>0</v>
      </c>
      <c r="C22" s="11">
        <f>IF(MONTH(DATE(CalYear,5,1)-WEEKDAY(DATE(CalYear,5,1),IF(WeekStart="Monday",2,1))+1+36)=5,DATE(CalYear,5,1)-WEEKDAY(DATE(CalYear,5,1),IF(WeekStart="Monday",2,1))+1+36,"")</f>
        <v>0</v>
      </c>
      <c r="D22" s="11">
        <f>IF(MONTH(DATE(CalYear,5,1)-WEEKDAY(DATE(CalYear,5,1),IF(WeekStart="Monday",2,1))+1+37)=5,DATE(CalYear,5,1)-WEEKDAY(DATE(CalYear,5,1),IF(WeekStart="Monday",2,1))+1+37,"")</f>
        <v>0</v>
      </c>
      <c r="E22" s="11">
        <f>IF(MONTH(DATE(CalYear,5,1)-WEEKDAY(DATE(CalYear,5,1),IF(WeekStart="Monday",2,1))+1+38)=5,DATE(CalYear,5,1)-WEEKDAY(DATE(CalYear,5,1),IF(WeekStart="Monday",2,1))+1+38,"")</f>
        <v>0</v>
      </c>
      <c r="F22" s="11">
        <f>IF(MONTH(DATE(CalYear,5,1)-WEEKDAY(DATE(CalYear,5,1),IF(WeekStart="Monday",2,1))+1+39)=5,DATE(CalYear,5,1)-WEEKDAY(DATE(CalYear,5,1),IF(WeekStart="Monday",2,1))+1+39,"")</f>
        <v>0</v>
      </c>
      <c r="G22" s="11">
        <f>IF(MONTH(DATE(CalYear,5,1)-WEEKDAY(DATE(CalYear,5,1),IF(WeekStart="Monday",2,1))+1+40)=5,DATE(CalYear,5,1)-WEEKDAY(DATE(CalYear,5,1),IF(WeekStart="Monday",2,1))+1+40,"")</f>
        <v>0</v>
      </c>
      <c r="H22" s="11">
        <f>IF(MONTH(DATE(CalYear,5,1)-WEEKDAY(DATE(CalYear,5,1),IF(WeekStart="Monday",2,1))+1+41)=5,DATE(CalYear,5,1)-WEEKDAY(DATE(CalYear,5,1),IF(WeekStart="Monday",2,1))+1+41,"")</f>
        <v>0</v>
      </c>
      <c r="J22" s="11">
        <f>IF(MONTH(DATE(CalYear,6,1)-WEEKDAY(DATE(CalYear,6,1),IF(WeekStart="Monday",2,1))+1+35)=6,DATE(CalYear,6,1)-WEEKDAY(DATE(CalYear,6,1),IF(WeekStart="Monday",2,1))+1+35,"")</f>
        <v>0</v>
      </c>
      <c r="K22" s="11">
        <f>IF(MONTH(DATE(CalYear,6,1)-WEEKDAY(DATE(CalYear,6,1),IF(WeekStart="Monday",2,1))+1+36)=6,DATE(CalYear,6,1)-WEEKDAY(DATE(CalYear,6,1),IF(WeekStart="Monday",2,1))+1+36,"")</f>
        <v>0</v>
      </c>
      <c r="L22" s="11">
        <f>IF(MONTH(DATE(CalYear,6,1)-WEEKDAY(DATE(CalYear,6,1),IF(WeekStart="Monday",2,1))+1+37)=6,DATE(CalYear,6,1)-WEEKDAY(DATE(CalYear,6,1),IF(WeekStart="Monday",2,1))+1+37,"")</f>
        <v>0</v>
      </c>
      <c r="M22" s="11">
        <f>IF(MONTH(DATE(CalYear,6,1)-WEEKDAY(DATE(CalYear,6,1),IF(WeekStart="Monday",2,1))+1+38)=6,DATE(CalYear,6,1)-WEEKDAY(DATE(CalYear,6,1),IF(WeekStart="Monday",2,1))+1+38,"")</f>
        <v>0</v>
      </c>
      <c r="N22" s="11">
        <f>IF(MONTH(DATE(CalYear,6,1)-WEEKDAY(DATE(CalYear,6,1),IF(WeekStart="Monday",2,1))+1+39)=6,DATE(CalYear,6,1)-WEEKDAY(DATE(CalYear,6,1),IF(WeekStart="Monday",2,1))+1+39,"")</f>
        <v>0</v>
      </c>
      <c r="O22" s="11">
        <f>IF(MONTH(DATE(CalYear,6,1)-WEEKDAY(DATE(CalYear,6,1),IF(WeekStart="Monday",2,1))+1+40)=6,DATE(CalYear,6,1)-WEEKDAY(DATE(CalYear,6,1),IF(WeekStart="Monday",2,1))+1+40,"")</f>
        <v>0</v>
      </c>
      <c r="P22" s="11">
        <f>IF(MONTH(DATE(CalYear,6,1)-WEEKDAY(DATE(CalYear,6,1),IF(WeekStart="Monday",2,1))+1+41)=6,DATE(CalYear,6,1)-WEEKDAY(DATE(CalYear,6,1),IF(WeekStart="Monday",2,1))+1+41,"")</f>
        <v>0</v>
      </c>
      <c r="R22" s="11">
        <f>IF(MONTH(DATE(CalYear,7,1)-WEEKDAY(DATE(CalYear,7,1),IF(WeekStart="Monday",2,1))+1+35)=7,DATE(CalYear,7,1)-WEEKDAY(DATE(CalYear,7,1),IF(WeekStart="Monday",2,1))+1+35,"")</f>
        <v>0</v>
      </c>
      <c r="S22" s="11">
        <f>IF(MONTH(DATE(CalYear,7,1)-WEEKDAY(DATE(CalYear,7,1),IF(WeekStart="Monday",2,1))+1+36)=7,DATE(CalYear,7,1)-WEEKDAY(DATE(CalYear,7,1),IF(WeekStart="Monday",2,1))+1+36,"")</f>
        <v>0</v>
      </c>
      <c r="T22" s="11">
        <f>IF(MONTH(DATE(CalYear,7,1)-WEEKDAY(DATE(CalYear,7,1),IF(WeekStart="Monday",2,1))+1+37)=7,DATE(CalYear,7,1)-WEEKDAY(DATE(CalYear,7,1),IF(WeekStart="Monday",2,1))+1+37,"")</f>
        <v>0</v>
      </c>
      <c r="U22" s="11">
        <f>IF(MONTH(DATE(CalYear,7,1)-WEEKDAY(DATE(CalYear,7,1),IF(WeekStart="Monday",2,1))+1+38)=7,DATE(CalYear,7,1)-WEEKDAY(DATE(CalYear,7,1),IF(WeekStart="Monday",2,1))+1+38,"")</f>
        <v>0</v>
      </c>
      <c r="V22" s="11">
        <f>IF(MONTH(DATE(CalYear,7,1)-WEEKDAY(DATE(CalYear,7,1),IF(WeekStart="Monday",2,1))+1+39)=7,DATE(CalYear,7,1)-WEEKDAY(DATE(CalYear,7,1),IF(WeekStart="Monday",2,1))+1+39,"")</f>
        <v>0</v>
      </c>
      <c r="W22" s="11">
        <f>IF(MONTH(DATE(CalYear,7,1)-WEEKDAY(DATE(CalYear,7,1),IF(WeekStart="Monday",2,1))+1+40)=7,DATE(CalYear,7,1)-WEEKDAY(DATE(CalYear,7,1),IF(WeekStart="Monday",2,1))+1+40,"")</f>
        <v>0</v>
      </c>
      <c r="X22" s="11">
        <f>IF(MONTH(DATE(CalYear,7,1)-WEEKDAY(DATE(CalYear,7,1),IF(WeekStart="Monday",2,1))+1+41)=7,DATE(CalYear,7,1)-WEEKDAY(DATE(CalYear,7,1),IF(WeekStart="Monday",2,1))+1+41,"")</f>
        <v>0</v>
      </c>
      <c r="Z22" s="11">
        <f>IF(MONTH(DATE(CalYear,8,1)-WEEKDAY(DATE(CalYear,8,1),IF(WeekStart="Monday",2,1))+1+35)=8,DATE(CalYear,8,1)-WEEKDAY(DATE(CalYear,8,1),IF(WeekStart="Monday",2,1))+1+35,"")</f>
        <v>0</v>
      </c>
      <c r="AA22" s="11">
        <f>IF(MONTH(DATE(CalYear,8,1)-WEEKDAY(DATE(CalYear,8,1),IF(WeekStart="Monday",2,1))+1+36)=8,DATE(CalYear,8,1)-WEEKDAY(DATE(CalYear,8,1),IF(WeekStart="Monday",2,1))+1+36,"")</f>
        <v>0</v>
      </c>
      <c r="AB22" s="11">
        <f>IF(MONTH(DATE(CalYear,8,1)-WEEKDAY(DATE(CalYear,8,1),IF(WeekStart="Monday",2,1))+1+37)=8,DATE(CalYear,8,1)-WEEKDAY(DATE(CalYear,8,1),IF(WeekStart="Monday",2,1))+1+37,"")</f>
        <v>0</v>
      </c>
      <c r="AC22" s="11">
        <f>IF(MONTH(DATE(CalYear,8,1)-WEEKDAY(DATE(CalYear,8,1),IF(WeekStart="Monday",2,1))+1+38)=8,DATE(CalYear,8,1)-WEEKDAY(DATE(CalYear,8,1),IF(WeekStart="Monday",2,1))+1+38,"")</f>
        <v>0</v>
      </c>
      <c r="AD22" s="11">
        <f>IF(MONTH(DATE(CalYear,8,1)-WEEKDAY(DATE(CalYear,8,1),IF(WeekStart="Monday",2,1))+1+39)=8,DATE(CalYear,8,1)-WEEKDAY(DATE(CalYear,8,1),IF(WeekStart="Monday",2,1))+1+39,"")</f>
        <v>0</v>
      </c>
      <c r="AE22" s="11">
        <f>IF(MONTH(DATE(CalYear,8,1)-WEEKDAY(DATE(CalYear,8,1),IF(WeekStart="Monday",2,1))+1+40)=8,DATE(CalYear,8,1)-WEEKDAY(DATE(CalYear,8,1),IF(WeekStart="Monday",2,1))+1+40,"")</f>
        <v>0</v>
      </c>
      <c r="AF22" s="11">
        <f>IF(MONTH(DATE(CalYear,8,1)-WEEKDAY(DATE(CalYear,8,1),IF(WeekStart="Monday",2,1))+1+41)=8,DATE(CalYear,8,1)-WEEKDAY(DATE(CalYear,8,1),IF(WeekStart="Monday",2,1))+1+41,"")</f>
        <v>0</v>
      </c>
    </row>
    <row r="25" spans="2:32" ht="22" customHeight="1">
      <c r="B25" s="8" t="s">
        <v>12</v>
      </c>
      <c r="C25" s="8"/>
      <c r="D25" s="8"/>
      <c r="E25" s="8"/>
      <c r="F25" s="8"/>
      <c r="G25" s="8"/>
      <c r="H25" s="8"/>
      <c r="J25" s="9" t="s">
        <v>13</v>
      </c>
      <c r="K25" s="9"/>
      <c r="L25" s="9"/>
      <c r="M25" s="9"/>
      <c r="N25" s="9"/>
      <c r="O25" s="9"/>
      <c r="P25" s="9"/>
      <c r="R25" s="12" t="s">
        <v>14</v>
      </c>
      <c r="S25" s="12"/>
      <c r="T25" s="12"/>
      <c r="U25" s="12"/>
      <c r="V25" s="12"/>
      <c r="W25" s="12"/>
      <c r="X25" s="12"/>
      <c r="Z25" s="13" t="s">
        <v>15</v>
      </c>
      <c r="AA25" s="13"/>
      <c r="AB25" s="13"/>
      <c r="AC25" s="13"/>
      <c r="AD25" s="13"/>
      <c r="AE25" s="13"/>
      <c r="AF25" s="13"/>
    </row>
    <row r="26" spans="2:32">
      <c r="B26" s="10">
        <f>IF(WeekStart="Monday",CHOOSE(1,"M","T","W","T","F","S","S"),CHOOSE(1,"S","M","T","W","T","F","S"))</f>
        <v>0</v>
      </c>
      <c r="C26" s="10">
        <f>IF(WeekStart="Monday",CHOOSE(2,"M","T","W","T","F","S","S"),CHOOSE(2,"S","M","T","W","T","F","S"))</f>
        <v>0</v>
      </c>
      <c r="D26" s="10">
        <f>IF(WeekStart="Monday",CHOOSE(3,"M","T","W","T","F","S","S"),CHOOSE(3,"S","M","T","W","T","F","S"))</f>
        <v>0</v>
      </c>
      <c r="E26" s="10">
        <f>IF(WeekStart="Monday",CHOOSE(4,"M","T","W","T","F","S","S"),CHOOSE(4,"S","M","T","W","T","F","S"))</f>
        <v>0</v>
      </c>
      <c r="F26" s="10">
        <f>IF(WeekStart="Monday",CHOOSE(5,"M","T","W","T","F","S","S"),CHOOSE(5,"S","M","T","W","T","F","S"))</f>
        <v>0</v>
      </c>
      <c r="G26" s="10">
        <f>IF(WeekStart="Monday",CHOOSE(6,"M","T","W","T","F","S","S"),CHOOSE(6,"S","M","T","W","T","F","S"))</f>
        <v>0</v>
      </c>
      <c r="H26" s="10">
        <f>IF(WeekStart="Monday",CHOOSE(7,"M","T","W","T","F","S","S"),CHOOSE(7,"S","M","T","W","T","F","S"))</f>
        <v>0</v>
      </c>
      <c r="J26" s="10">
        <f>IF(WeekStart="Monday",CHOOSE(1,"M","T","W","T","F","S","S"),CHOOSE(1,"S","M","T","W","T","F","S"))</f>
        <v>0</v>
      </c>
      <c r="K26" s="10">
        <f>IF(WeekStart="Monday",CHOOSE(2,"M","T","W","T","F","S","S"),CHOOSE(2,"S","M","T","W","T","F","S"))</f>
        <v>0</v>
      </c>
      <c r="L26" s="10">
        <f>IF(WeekStart="Monday",CHOOSE(3,"M","T","W","T","F","S","S"),CHOOSE(3,"S","M","T","W","T","F","S"))</f>
        <v>0</v>
      </c>
      <c r="M26" s="10">
        <f>IF(WeekStart="Monday",CHOOSE(4,"M","T","W","T","F","S","S"),CHOOSE(4,"S","M","T","W","T","F","S"))</f>
        <v>0</v>
      </c>
      <c r="N26" s="10">
        <f>IF(WeekStart="Monday",CHOOSE(5,"M","T","W","T","F","S","S"),CHOOSE(5,"S","M","T","W","T","F","S"))</f>
        <v>0</v>
      </c>
      <c r="O26" s="10">
        <f>IF(WeekStart="Monday",CHOOSE(6,"M","T","W","T","F","S","S"),CHOOSE(6,"S","M","T","W","T","F","S"))</f>
        <v>0</v>
      </c>
      <c r="P26" s="10">
        <f>IF(WeekStart="Monday",CHOOSE(7,"M","T","W","T","F","S","S"),CHOOSE(7,"S","M","T","W","T","F","S"))</f>
        <v>0</v>
      </c>
      <c r="R26" s="10">
        <f>IF(WeekStart="Monday",CHOOSE(1,"M","T","W","T","F","S","S"),CHOOSE(1,"S","M","T","W","T","F","S"))</f>
        <v>0</v>
      </c>
      <c r="S26" s="10">
        <f>IF(WeekStart="Monday",CHOOSE(2,"M","T","W","T","F","S","S"),CHOOSE(2,"S","M","T","W","T","F","S"))</f>
        <v>0</v>
      </c>
      <c r="T26" s="10">
        <f>IF(WeekStart="Monday",CHOOSE(3,"M","T","W","T","F","S","S"),CHOOSE(3,"S","M","T","W","T","F","S"))</f>
        <v>0</v>
      </c>
      <c r="U26" s="10">
        <f>IF(WeekStart="Monday",CHOOSE(4,"M","T","W","T","F","S","S"),CHOOSE(4,"S","M","T","W","T","F","S"))</f>
        <v>0</v>
      </c>
      <c r="V26" s="10">
        <f>IF(WeekStart="Monday",CHOOSE(5,"M","T","W","T","F","S","S"),CHOOSE(5,"S","M","T","W","T","F","S"))</f>
        <v>0</v>
      </c>
      <c r="W26" s="10">
        <f>IF(WeekStart="Monday",CHOOSE(6,"M","T","W","T","F","S","S"),CHOOSE(6,"S","M","T","W","T","F","S"))</f>
        <v>0</v>
      </c>
      <c r="X26" s="10">
        <f>IF(WeekStart="Monday",CHOOSE(7,"M","T","W","T","F","S","S"),CHOOSE(7,"S","M","T","W","T","F","S"))</f>
        <v>0</v>
      </c>
      <c r="Z26" s="10">
        <f>IF(WeekStart="Monday",CHOOSE(1,"M","T","W","T","F","S","S"),CHOOSE(1,"S","M","T","W","T","F","S"))</f>
        <v>0</v>
      </c>
      <c r="AA26" s="10">
        <f>IF(WeekStart="Monday",CHOOSE(2,"M","T","W","T","F","S","S"),CHOOSE(2,"S","M","T","W","T","F","S"))</f>
        <v>0</v>
      </c>
      <c r="AB26" s="10">
        <f>IF(WeekStart="Monday",CHOOSE(3,"M","T","W","T","F","S","S"),CHOOSE(3,"S","M","T","W","T","F","S"))</f>
        <v>0</v>
      </c>
      <c r="AC26" s="10">
        <f>IF(WeekStart="Monday",CHOOSE(4,"M","T","W","T","F","S","S"),CHOOSE(4,"S","M","T","W","T","F","S"))</f>
        <v>0</v>
      </c>
      <c r="AD26" s="10">
        <f>IF(WeekStart="Monday",CHOOSE(5,"M","T","W","T","F","S","S"),CHOOSE(5,"S","M","T","W","T","F","S"))</f>
        <v>0</v>
      </c>
      <c r="AE26" s="10">
        <f>IF(WeekStart="Monday",CHOOSE(6,"M","T","W","T","F","S","S"),CHOOSE(6,"S","M","T","W","T","F","S"))</f>
        <v>0</v>
      </c>
      <c r="AF26" s="10">
        <f>IF(WeekStart="Monday",CHOOSE(7,"M","T","W","T","F","S","S"),CHOOSE(7,"S","M","T","W","T","F","S"))</f>
        <v>0</v>
      </c>
    </row>
    <row r="27" spans="2:32">
      <c r="B27" s="11">
        <f>IF(MONTH(DATE(CalYear,9,1)-WEEKDAY(DATE(CalYear,9,1),IF(WeekStart="Monday",2,1))+1+0)=9,DATE(CalYear,9,1)-WEEKDAY(DATE(CalYear,9,1),IF(WeekStart="Monday",2,1))+1+0,"")</f>
        <v>0</v>
      </c>
      <c r="C27" s="11">
        <f>IF(MONTH(DATE(CalYear,9,1)-WEEKDAY(DATE(CalYear,9,1),IF(WeekStart="Monday",2,1))+1+1)=9,DATE(CalYear,9,1)-WEEKDAY(DATE(CalYear,9,1),IF(WeekStart="Monday",2,1))+1+1,"")</f>
        <v>0</v>
      </c>
      <c r="D27" s="11">
        <f>IF(MONTH(DATE(CalYear,9,1)-WEEKDAY(DATE(CalYear,9,1),IF(WeekStart="Monday",2,1))+1+2)=9,DATE(CalYear,9,1)-WEEKDAY(DATE(CalYear,9,1),IF(WeekStart="Monday",2,1))+1+2,"")</f>
        <v>0</v>
      </c>
      <c r="E27" s="11">
        <f>IF(MONTH(DATE(CalYear,9,1)-WEEKDAY(DATE(CalYear,9,1),IF(WeekStart="Monday",2,1))+1+3)=9,DATE(CalYear,9,1)-WEEKDAY(DATE(CalYear,9,1),IF(WeekStart="Monday",2,1))+1+3,"")</f>
        <v>0</v>
      </c>
      <c r="F27" s="11">
        <f>IF(MONTH(DATE(CalYear,9,1)-WEEKDAY(DATE(CalYear,9,1),IF(WeekStart="Monday",2,1))+1+4)=9,DATE(CalYear,9,1)-WEEKDAY(DATE(CalYear,9,1),IF(WeekStart="Monday",2,1))+1+4,"")</f>
        <v>0</v>
      </c>
      <c r="G27" s="11">
        <f>IF(MONTH(DATE(CalYear,9,1)-WEEKDAY(DATE(CalYear,9,1),IF(WeekStart="Monday",2,1))+1+5)=9,DATE(CalYear,9,1)-WEEKDAY(DATE(CalYear,9,1),IF(WeekStart="Monday",2,1))+1+5,"")</f>
        <v>0</v>
      </c>
      <c r="H27" s="11">
        <f>IF(MONTH(DATE(CalYear,9,1)-WEEKDAY(DATE(CalYear,9,1),IF(WeekStart="Monday",2,1))+1+6)=9,DATE(CalYear,9,1)-WEEKDAY(DATE(CalYear,9,1),IF(WeekStart="Monday",2,1))+1+6,"")</f>
        <v>0</v>
      </c>
      <c r="J27" s="11">
        <f>IF(MONTH(DATE(CalYear,10,1)-WEEKDAY(DATE(CalYear,10,1),IF(WeekStart="Monday",2,1))+1+0)=10,DATE(CalYear,10,1)-WEEKDAY(DATE(CalYear,10,1),IF(WeekStart="Monday",2,1))+1+0,"")</f>
        <v>0</v>
      </c>
      <c r="K27" s="11">
        <f>IF(MONTH(DATE(CalYear,10,1)-WEEKDAY(DATE(CalYear,10,1),IF(WeekStart="Monday",2,1))+1+1)=10,DATE(CalYear,10,1)-WEEKDAY(DATE(CalYear,10,1),IF(WeekStart="Monday",2,1))+1+1,"")</f>
        <v>0</v>
      </c>
      <c r="L27" s="11">
        <f>IF(MONTH(DATE(CalYear,10,1)-WEEKDAY(DATE(CalYear,10,1),IF(WeekStart="Monday",2,1))+1+2)=10,DATE(CalYear,10,1)-WEEKDAY(DATE(CalYear,10,1),IF(WeekStart="Monday",2,1))+1+2,"")</f>
        <v>0</v>
      </c>
      <c r="M27" s="11">
        <f>IF(MONTH(DATE(CalYear,10,1)-WEEKDAY(DATE(CalYear,10,1),IF(WeekStart="Monday",2,1))+1+3)=10,DATE(CalYear,10,1)-WEEKDAY(DATE(CalYear,10,1),IF(WeekStart="Monday",2,1))+1+3,"")</f>
        <v>0</v>
      </c>
      <c r="N27" s="11">
        <f>IF(MONTH(DATE(CalYear,10,1)-WEEKDAY(DATE(CalYear,10,1),IF(WeekStart="Monday",2,1))+1+4)=10,DATE(CalYear,10,1)-WEEKDAY(DATE(CalYear,10,1),IF(WeekStart="Monday",2,1))+1+4,"")</f>
        <v>0</v>
      </c>
      <c r="O27" s="11">
        <f>IF(MONTH(DATE(CalYear,10,1)-WEEKDAY(DATE(CalYear,10,1),IF(WeekStart="Monday",2,1))+1+5)=10,DATE(CalYear,10,1)-WEEKDAY(DATE(CalYear,10,1),IF(WeekStart="Monday",2,1))+1+5,"")</f>
        <v>0</v>
      </c>
      <c r="P27" s="11">
        <f>IF(MONTH(DATE(CalYear,10,1)-WEEKDAY(DATE(CalYear,10,1),IF(WeekStart="Monday",2,1))+1+6)=10,DATE(CalYear,10,1)-WEEKDAY(DATE(CalYear,10,1),IF(WeekStart="Monday",2,1))+1+6,"")</f>
        <v>0</v>
      </c>
      <c r="R27" s="11">
        <f>IF(MONTH(DATE(CalYear,11,1)-WEEKDAY(DATE(CalYear,11,1),IF(WeekStart="Monday",2,1))+1+0)=11,DATE(CalYear,11,1)-WEEKDAY(DATE(CalYear,11,1),IF(WeekStart="Monday",2,1))+1+0,"")</f>
        <v>0</v>
      </c>
      <c r="S27" s="11">
        <f>IF(MONTH(DATE(CalYear,11,1)-WEEKDAY(DATE(CalYear,11,1),IF(WeekStart="Monday",2,1))+1+1)=11,DATE(CalYear,11,1)-WEEKDAY(DATE(CalYear,11,1),IF(WeekStart="Monday",2,1))+1+1,"")</f>
        <v>0</v>
      </c>
      <c r="T27" s="11">
        <f>IF(MONTH(DATE(CalYear,11,1)-WEEKDAY(DATE(CalYear,11,1),IF(WeekStart="Monday",2,1))+1+2)=11,DATE(CalYear,11,1)-WEEKDAY(DATE(CalYear,11,1),IF(WeekStart="Monday",2,1))+1+2,"")</f>
        <v>0</v>
      </c>
      <c r="U27" s="11">
        <f>IF(MONTH(DATE(CalYear,11,1)-WEEKDAY(DATE(CalYear,11,1),IF(WeekStart="Monday",2,1))+1+3)=11,DATE(CalYear,11,1)-WEEKDAY(DATE(CalYear,11,1),IF(WeekStart="Monday",2,1))+1+3,"")</f>
        <v>0</v>
      </c>
      <c r="V27" s="11">
        <f>IF(MONTH(DATE(CalYear,11,1)-WEEKDAY(DATE(CalYear,11,1),IF(WeekStart="Monday",2,1))+1+4)=11,DATE(CalYear,11,1)-WEEKDAY(DATE(CalYear,11,1),IF(WeekStart="Monday",2,1))+1+4,"")</f>
        <v>0</v>
      </c>
      <c r="W27" s="11">
        <f>IF(MONTH(DATE(CalYear,11,1)-WEEKDAY(DATE(CalYear,11,1),IF(WeekStart="Monday",2,1))+1+5)=11,DATE(CalYear,11,1)-WEEKDAY(DATE(CalYear,11,1),IF(WeekStart="Monday",2,1))+1+5,"")</f>
        <v>0</v>
      </c>
      <c r="X27" s="11">
        <f>IF(MONTH(DATE(CalYear,11,1)-WEEKDAY(DATE(CalYear,11,1),IF(WeekStart="Monday",2,1))+1+6)=11,DATE(CalYear,11,1)-WEEKDAY(DATE(CalYear,11,1),IF(WeekStart="Monday",2,1))+1+6,"")</f>
        <v>0</v>
      </c>
      <c r="Z27" s="11">
        <f>IF(MONTH(DATE(CalYear,12,1)-WEEKDAY(DATE(CalYear,12,1),IF(WeekStart="Monday",2,1))+1+0)=12,DATE(CalYear,12,1)-WEEKDAY(DATE(CalYear,12,1),IF(WeekStart="Monday",2,1))+1+0,"")</f>
        <v>0</v>
      </c>
      <c r="AA27" s="11">
        <f>IF(MONTH(DATE(CalYear,12,1)-WEEKDAY(DATE(CalYear,12,1),IF(WeekStart="Monday",2,1))+1+1)=12,DATE(CalYear,12,1)-WEEKDAY(DATE(CalYear,12,1),IF(WeekStart="Monday",2,1))+1+1,"")</f>
        <v>0</v>
      </c>
      <c r="AB27" s="11">
        <f>IF(MONTH(DATE(CalYear,12,1)-WEEKDAY(DATE(CalYear,12,1),IF(WeekStart="Monday",2,1))+1+2)=12,DATE(CalYear,12,1)-WEEKDAY(DATE(CalYear,12,1),IF(WeekStart="Monday",2,1))+1+2,"")</f>
        <v>0</v>
      </c>
      <c r="AC27" s="11">
        <f>IF(MONTH(DATE(CalYear,12,1)-WEEKDAY(DATE(CalYear,12,1),IF(WeekStart="Monday",2,1))+1+3)=12,DATE(CalYear,12,1)-WEEKDAY(DATE(CalYear,12,1),IF(WeekStart="Monday",2,1))+1+3,"")</f>
        <v>0</v>
      </c>
      <c r="AD27" s="11">
        <f>IF(MONTH(DATE(CalYear,12,1)-WEEKDAY(DATE(CalYear,12,1),IF(WeekStart="Monday",2,1))+1+4)=12,DATE(CalYear,12,1)-WEEKDAY(DATE(CalYear,12,1),IF(WeekStart="Monday",2,1))+1+4,"")</f>
        <v>0</v>
      </c>
      <c r="AE27" s="11">
        <f>IF(MONTH(DATE(CalYear,12,1)-WEEKDAY(DATE(CalYear,12,1),IF(WeekStart="Monday",2,1))+1+5)=12,DATE(CalYear,12,1)-WEEKDAY(DATE(CalYear,12,1),IF(WeekStart="Monday",2,1))+1+5,"")</f>
        <v>0</v>
      </c>
      <c r="AF27" s="11">
        <f>IF(MONTH(DATE(CalYear,12,1)-WEEKDAY(DATE(CalYear,12,1),IF(WeekStart="Monday",2,1))+1+6)=12,DATE(CalYear,12,1)-WEEKDAY(DATE(CalYear,12,1),IF(WeekStart="Monday",2,1))+1+6,"")</f>
        <v>0</v>
      </c>
    </row>
    <row r="28" spans="2:32">
      <c r="B28" s="11">
        <f>IF(MONTH(DATE(CalYear,9,1)-WEEKDAY(DATE(CalYear,9,1),IF(WeekStart="Monday",2,1))+1+7)=9,DATE(CalYear,9,1)-WEEKDAY(DATE(CalYear,9,1),IF(WeekStart="Monday",2,1))+1+7,"")</f>
        <v>0</v>
      </c>
      <c r="C28" s="11">
        <f>IF(MONTH(DATE(CalYear,9,1)-WEEKDAY(DATE(CalYear,9,1),IF(WeekStart="Monday",2,1))+1+8)=9,DATE(CalYear,9,1)-WEEKDAY(DATE(CalYear,9,1),IF(WeekStart="Monday",2,1))+1+8,"")</f>
        <v>0</v>
      </c>
      <c r="D28" s="11">
        <f>IF(MONTH(DATE(CalYear,9,1)-WEEKDAY(DATE(CalYear,9,1),IF(WeekStart="Monday",2,1))+1+9)=9,DATE(CalYear,9,1)-WEEKDAY(DATE(CalYear,9,1),IF(WeekStart="Monday",2,1))+1+9,"")</f>
        <v>0</v>
      </c>
      <c r="E28" s="11">
        <f>IF(MONTH(DATE(CalYear,9,1)-WEEKDAY(DATE(CalYear,9,1),IF(WeekStart="Monday",2,1))+1+10)=9,DATE(CalYear,9,1)-WEEKDAY(DATE(CalYear,9,1),IF(WeekStart="Monday",2,1))+1+10,"")</f>
        <v>0</v>
      </c>
      <c r="F28" s="11">
        <f>IF(MONTH(DATE(CalYear,9,1)-WEEKDAY(DATE(CalYear,9,1),IF(WeekStart="Monday",2,1))+1+11)=9,DATE(CalYear,9,1)-WEEKDAY(DATE(CalYear,9,1),IF(WeekStart="Monday",2,1))+1+11,"")</f>
        <v>0</v>
      </c>
      <c r="G28" s="11">
        <f>IF(MONTH(DATE(CalYear,9,1)-WEEKDAY(DATE(CalYear,9,1),IF(WeekStart="Monday",2,1))+1+12)=9,DATE(CalYear,9,1)-WEEKDAY(DATE(CalYear,9,1),IF(WeekStart="Monday",2,1))+1+12,"")</f>
        <v>0</v>
      </c>
      <c r="H28" s="11">
        <f>IF(MONTH(DATE(CalYear,9,1)-WEEKDAY(DATE(CalYear,9,1),IF(WeekStart="Monday",2,1))+1+13)=9,DATE(CalYear,9,1)-WEEKDAY(DATE(CalYear,9,1),IF(WeekStart="Monday",2,1))+1+13,"")</f>
        <v>0</v>
      </c>
      <c r="J28" s="11">
        <f>IF(MONTH(DATE(CalYear,10,1)-WEEKDAY(DATE(CalYear,10,1),IF(WeekStart="Monday",2,1))+1+7)=10,DATE(CalYear,10,1)-WEEKDAY(DATE(CalYear,10,1),IF(WeekStart="Monday",2,1))+1+7,"")</f>
        <v>0</v>
      </c>
      <c r="K28" s="11">
        <f>IF(MONTH(DATE(CalYear,10,1)-WEEKDAY(DATE(CalYear,10,1),IF(WeekStart="Monday",2,1))+1+8)=10,DATE(CalYear,10,1)-WEEKDAY(DATE(CalYear,10,1),IF(WeekStart="Monday",2,1))+1+8,"")</f>
        <v>0</v>
      </c>
      <c r="L28" s="11">
        <f>IF(MONTH(DATE(CalYear,10,1)-WEEKDAY(DATE(CalYear,10,1),IF(WeekStart="Monday",2,1))+1+9)=10,DATE(CalYear,10,1)-WEEKDAY(DATE(CalYear,10,1),IF(WeekStart="Monday",2,1))+1+9,"")</f>
        <v>0</v>
      </c>
      <c r="M28" s="11">
        <f>IF(MONTH(DATE(CalYear,10,1)-WEEKDAY(DATE(CalYear,10,1),IF(WeekStart="Monday",2,1))+1+10)=10,DATE(CalYear,10,1)-WEEKDAY(DATE(CalYear,10,1),IF(WeekStart="Monday",2,1))+1+10,"")</f>
        <v>0</v>
      </c>
      <c r="N28" s="11">
        <f>IF(MONTH(DATE(CalYear,10,1)-WEEKDAY(DATE(CalYear,10,1),IF(WeekStart="Monday",2,1))+1+11)=10,DATE(CalYear,10,1)-WEEKDAY(DATE(CalYear,10,1),IF(WeekStart="Monday",2,1))+1+11,"")</f>
        <v>0</v>
      </c>
      <c r="O28" s="11">
        <f>IF(MONTH(DATE(CalYear,10,1)-WEEKDAY(DATE(CalYear,10,1),IF(WeekStart="Monday",2,1))+1+12)=10,DATE(CalYear,10,1)-WEEKDAY(DATE(CalYear,10,1),IF(WeekStart="Monday",2,1))+1+12,"")</f>
        <v>0</v>
      </c>
      <c r="P28" s="11">
        <f>IF(MONTH(DATE(CalYear,10,1)-WEEKDAY(DATE(CalYear,10,1),IF(WeekStart="Monday",2,1))+1+13)=10,DATE(CalYear,10,1)-WEEKDAY(DATE(CalYear,10,1),IF(WeekStart="Monday",2,1))+1+13,"")</f>
        <v>0</v>
      </c>
      <c r="R28" s="11">
        <f>IF(MONTH(DATE(CalYear,11,1)-WEEKDAY(DATE(CalYear,11,1),IF(WeekStart="Monday",2,1))+1+7)=11,DATE(CalYear,11,1)-WEEKDAY(DATE(CalYear,11,1),IF(WeekStart="Monday",2,1))+1+7,"")</f>
        <v>0</v>
      </c>
      <c r="S28" s="11">
        <f>IF(MONTH(DATE(CalYear,11,1)-WEEKDAY(DATE(CalYear,11,1),IF(WeekStart="Monday",2,1))+1+8)=11,DATE(CalYear,11,1)-WEEKDAY(DATE(CalYear,11,1),IF(WeekStart="Monday",2,1))+1+8,"")</f>
        <v>0</v>
      </c>
      <c r="T28" s="11">
        <f>IF(MONTH(DATE(CalYear,11,1)-WEEKDAY(DATE(CalYear,11,1),IF(WeekStart="Monday",2,1))+1+9)=11,DATE(CalYear,11,1)-WEEKDAY(DATE(CalYear,11,1),IF(WeekStart="Monday",2,1))+1+9,"")</f>
        <v>0</v>
      </c>
      <c r="U28" s="11">
        <f>IF(MONTH(DATE(CalYear,11,1)-WEEKDAY(DATE(CalYear,11,1),IF(WeekStart="Monday",2,1))+1+10)=11,DATE(CalYear,11,1)-WEEKDAY(DATE(CalYear,11,1),IF(WeekStart="Monday",2,1))+1+10,"")</f>
        <v>0</v>
      </c>
      <c r="V28" s="11">
        <f>IF(MONTH(DATE(CalYear,11,1)-WEEKDAY(DATE(CalYear,11,1),IF(WeekStart="Monday",2,1))+1+11)=11,DATE(CalYear,11,1)-WEEKDAY(DATE(CalYear,11,1),IF(WeekStart="Monday",2,1))+1+11,"")</f>
        <v>0</v>
      </c>
      <c r="W28" s="11">
        <f>IF(MONTH(DATE(CalYear,11,1)-WEEKDAY(DATE(CalYear,11,1),IF(WeekStart="Monday",2,1))+1+12)=11,DATE(CalYear,11,1)-WEEKDAY(DATE(CalYear,11,1),IF(WeekStart="Monday",2,1))+1+12,"")</f>
        <v>0</v>
      </c>
      <c r="X28" s="11">
        <f>IF(MONTH(DATE(CalYear,11,1)-WEEKDAY(DATE(CalYear,11,1),IF(WeekStart="Monday",2,1))+1+13)=11,DATE(CalYear,11,1)-WEEKDAY(DATE(CalYear,11,1),IF(WeekStart="Monday",2,1))+1+13,"")</f>
        <v>0</v>
      </c>
      <c r="Z28" s="11">
        <f>IF(MONTH(DATE(CalYear,12,1)-WEEKDAY(DATE(CalYear,12,1),IF(WeekStart="Monday",2,1))+1+7)=12,DATE(CalYear,12,1)-WEEKDAY(DATE(CalYear,12,1),IF(WeekStart="Monday",2,1))+1+7,"")</f>
        <v>0</v>
      </c>
      <c r="AA28" s="11">
        <f>IF(MONTH(DATE(CalYear,12,1)-WEEKDAY(DATE(CalYear,12,1),IF(WeekStart="Monday",2,1))+1+8)=12,DATE(CalYear,12,1)-WEEKDAY(DATE(CalYear,12,1),IF(WeekStart="Monday",2,1))+1+8,"")</f>
        <v>0</v>
      </c>
      <c r="AB28" s="11">
        <f>IF(MONTH(DATE(CalYear,12,1)-WEEKDAY(DATE(CalYear,12,1),IF(WeekStart="Monday",2,1))+1+9)=12,DATE(CalYear,12,1)-WEEKDAY(DATE(CalYear,12,1),IF(WeekStart="Monday",2,1))+1+9,"")</f>
        <v>0</v>
      </c>
      <c r="AC28" s="11">
        <f>IF(MONTH(DATE(CalYear,12,1)-WEEKDAY(DATE(CalYear,12,1),IF(WeekStart="Monday",2,1))+1+10)=12,DATE(CalYear,12,1)-WEEKDAY(DATE(CalYear,12,1),IF(WeekStart="Monday",2,1))+1+10,"")</f>
        <v>0</v>
      </c>
      <c r="AD28" s="11">
        <f>IF(MONTH(DATE(CalYear,12,1)-WEEKDAY(DATE(CalYear,12,1),IF(WeekStart="Monday",2,1))+1+11)=12,DATE(CalYear,12,1)-WEEKDAY(DATE(CalYear,12,1),IF(WeekStart="Monday",2,1))+1+11,"")</f>
        <v>0</v>
      </c>
      <c r="AE28" s="11">
        <f>IF(MONTH(DATE(CalYear,12,1)-WEEKDAY(DATE(CalYear,12,1),IF(WeekStart="Monday",2,1))+1+12)=12,DATE(CalYear,12,1)-WEEKDAY(DATE(CalYear,12,1),IF(WeekStart="Monday",2,1))+1+12,"")</f>
        <v>0</v>
      </c>
      <c r="AF28" s="11">
        <f>IF(MONTH(DATE(CalYear,12,1)-WEEKDAY(DATE(CalYear,12,1),IF(WeekStart="Monday",2,1))+1+13)=12,DATE(CalYear,12,1)-WEEKDAY(DATE(CalYear,12,1),IF(WeekStart="Monday",2,1))+1+13,"")</f>
        <v>0</v>
      </c>
    </row>
    <row r="29" spans="2:32">
      <c r="B29" s="11">
        <f>IF(MONTH(DATE(CalYear,9,1)-WEEKDAY(DATE(CalYear,9,1),IF(WeekStart="Monday",2,1))+1+14)=9,DATE(CalYear,9,1)-WEEKDAY(DATE(CalYear,9,1),IF(WeekStart="Monday",2,1))+1+14,"")</f>
        <v>0</v>
      </c>
      <c r="C29" s="11">
        <f>IF(MONTH(DATE(CalYear,9,1)-WEEKDAY(DATE(CalYear,9,1),IF(WeekStart="Monday",2,1))+1+15)=9,DATE(CalYear,9,1)-WEEKDAY(DATE(CalYear,9,1),IF(WeekStart="Monday",2,1))+1+15,"")</f>
        <v>0</v>
      </c>
      <c r="D29" s="11">
        <f>IF(MONTH(DATE(CalYear,9,1)-WEEKDAY(DATE(CalYear,9,1),IF(WeekStart="Monday",2,1))+1+16)=9,DATE(CalYear,9,1)-WEEKDAY(DATE(CalYear,9,1),IF(WeekStart="Monday",2,1))+1+16,"")</f>
        <v>0</v>
      </c>
      <c r="E29" s="11">
        <f>IF(MONTH(DATE(CalYear,9,1)-WEEKDAY(DATE(CalYear,9,1),IF(WeekStart="Monday",2,1))+1+17)=9,DATE(CalYear,9,1)-WEEKDAY(DATE(CalYear,9,1),IF(WeekStart="Monday",2,1))+1+17,"")</f>
        <v>0</v>
      </c>
      <c r="F29" s="11">
        <f>IF(MONTH(DATE(CalYear,9,1)-WEEKDAY(DATE(CalYear,9,1),IF(WeekStart="Monday",2,1))+1+18)=9,DATE(CalYear,9,1)-WEEKDAY(DATE(CalYear,9,1),IF(WeekStart="Monday",2,1))+1+18,"")</f>
        <v>0</v>
      </c>
      <c r="G29" s="11">
        <f>IF(MONTH(DATE(CalYear,9,1)-WEEKDAY(DATE(CalYear,9,1),IF(WeekStart="Monday",2,1))+1+19)=9,DATE(CalYear,9,1)-WEEKDAY(DATE(CalYear,9,1),IF(WeekStart="Monday",2,1))+1+19,"")</f>
        <v>0</v>
      </c>
      <c r="H29" s="11">
        <f>IF(MONTH(DATE(CalYear,9,1)-WEEKDAY(DATE(CalYear,9,1),IF(WeekStart="Monday",2,1))+1+20)=9,DATE(CalYear,9,1)-WEEKDAY(DATE(CalYear,9,1),IF(WeekStart="Monday",2,1))+1+20,"")</f>
        <v>0</v>
      </c>
      <c r="J29" s="11">
        <f>IF(MONTH(DATE(CalYear,10,1)-WEEKDAY(DATE(CalYear,10,1),IF(WeekStart="Monday",2,1))+1+14)=10,DATE(CalYear,10,1)-WEEKDAY(DATE(CalYear,10,1),IF(WeekStart="Monday",2,1))+1+14,"")</f>
        <v>0</v>
      </c>
      <c r="K29" s="11">
        <f>IF(MONTH(DATE(CalYear,10,1)-WEEKDAY(DATE(CalYear,10,1),IF(WeekStart="Monday",2,1))+1+15)=10,DATE(CalYear,10,1)-WEEKDAY(DATE(CalYear,10,1),IF(WeekStart="Monday",2,1))+1+15,"")</f>
        <v>0</v>
      </c>
      <c r="L29" s="11">
        <f>IF(MONTH(DATE(CalYear,10,1)-WEEKDAY(DATE(CalYear,10,1),IF(WeekStart="Monday",2,1))+1+16)=10,DATE(CalYear,10,1)-WEEKDAY(DATE(CalYear,10,1),IF(WeekStart="Monday",2,1))+1+16,"")</f>
        <v>0</v>
      </c>
      <c r="M29" s="11">
        <f>IF(MONTH(DATE(CalYear,10,1)-WEEKDAY(DATE(CalYear,10,1),IF(WeekStart="Monday",2,1))+1+17)=10,DATE(CalYear,10,1)-WEEKDAY(DATE(CalYear,10,1),IF(WeekStart="Monday",2,1))+1+17,"")</f>
        <v>0</v>
      </c>
      <c r="N29" s="11">
        <f>IF(MONTH(DATE(CalYear,10,1)-WEEKDAY(DATE(CalYear,10,1),IF(WeekStart="Monday",2,1))+1+18)=10,DATE(CalYear,10,1)-WEEKDAY(DATE(CalYear,10,1),IF(WeekStart="Monday",2,1))+1+18,"")</f>
        <v>0</v>
      </c>
      <c r="O29" s="11">
        <f>IF(MONTH(DATE(CalYear,10,1)-WEEKDAY(DATE(CalYear,10,1),IF(WeekStart="Monday",2,1))+1+19)=10,DATE(CalYear,10,1)-WEEKDAY(DATE(CalYear,10,1),IF(WeekStart="Monday",2,1))+1+19,"")</f>
        <v>0</v>
      </c>
      <c r="P29" s="11">
        <f>IF(MONTH(DATE(CalYear,10,1)-WEEKDAY(DATE(CalYear,10,1),IF(WeekStart="Monday",2,1))+1+20)=10,DATE(CalYear,10,1)-WEEKDAY(DATE(CalYear,10,1),IF(WeekStart="Monday",2,1))+1+20,"")</f>
        <v>0</v>
      </c>
      <c r="R29" s="11">
        <f>IF(MONTH(DATE(CalYear,11,1)-WEEKDAY(DATE(CalYear,11,1),IF(WeekStart="Monday",2,1))+1+14)=11,DATE(CalYear,11,1)-WEEKDAY(DATE(CalYear,11,1),IF(WeekStart="Monday",2,1))+1+14,"")</f>
        <v>0</v>
      </c>
      <c r="S29" s="11">
        <f>IF(MONTH(DATE(CalYear,11,1)-WEEKDAY(DATE(CalYear,11,1),IF(WeekStart="Monday",2,1))+1+15)=11,DATE(CalYear,11,1)-WEEKDAY(DATE(CalYear,11,1),IF(WeekStart="Monday",2,1))+1+15,"")</f>
        <v>0</v>
      </c>
      <c r="T29" s="11">
        <f>IF(MONTH(DATE(CalYear,11,1)-WEEKDAY(DATE(CalYear,11,1),IF(WeekStart="Monday",2,1))+1+16)=11,DATE(CalYear,11,1)-WEEKDAY(DATE(CalYear,11,1),IF(WeekStart="Monday",2,1))+1+16,"")</f>
        <v>0</v>
      </c>
      <c r="U29" s="11">
        <f>IF(MONTH(DATE(CalYear,11,1)-WEEKDAY(DATE(CalYear,11,1),IF(WeekStart="Monday",2,1))+1+17)=11,DATE(CalYear,11,1)-WEEKDAY(DATE(CalYear,11,1),IF(WeekStart="Monday",2,1))+1+17,"")</f>
        <v>0</v>
      </c>
      <c r="V29" s="11">
        <f>IF(MONTH(DATE(CalYear,11,1)-WEEKDAY(DATE(CalYear,11,1),IF(WeekStart="Monday",2,1))+1+18)=11,DATE(CalYear,11,1)-WEEKDAY(DATE(CalYear,11,1),IF(WeekStart="Monday",2,1))+1+18,"")</f>
        <v>0</v>
      </c>
      <c r="W29" s="11">
        <f>IF(MONTH(DATE(CalYear,11,1)-WEEKDAY(DATE(CalYear,11,1),IF(WeekStart="Monday",2,1))+1+19)=11,DATE(CalYear,11,1)-WEEKDAY(DATE(CalYear,11,1),IF(WeekStart="Monday",2,1))+1+19,"")</f>
        <v>0</v>
      </c>
      <c r="X29" s="11">
        <f>IF(MONTH(DATE(CalYear,11,1)-WEEKDAY(DATE(CalYear,11,1),IF(WeekStart="Monday",2,1))+1+20)=11,DATE(CalYear,11,1)-WEEKDAY(DATE(CalYear,11,1),IF(WeekStart="Monday",2,1))+1+20,"")</f>
        <v>0</v>
      </c>
      <c r="Z29" s="11">
        <f>IF(MONTH(DATE(CalYear,12,1)-WEEKDAY(DATE(CalYear,12,1),IF(WeekStart="Monday",2,1))+1+14)=12,DATE(CalYear,12,1)-WEEKDAY(DATE(CalYear,12,1),IF(WeekStart="Monday",2,1))+1+14,"")</f>
        <v>0</v>
      </c>
      <c r="AA29" s="11">
        <f>IF(MONTH(DATE(CalYear,12,1)-WEEKDAY(DATE(CalYear,12,1),IF(WeekStart="Monday",2,1))+1+15)=12,DATE(CalYear,12,1)-WEEKDAY(DATE(CalYear,12,1),IF(WeekStart="Monday",2,1))+1+15,"")</f>
        <v>0</v>
      </c>
      <c r="AB29" s="11">
        <f>IF(MONTH(DATE(CalYear,12,1)-WEEKDAY(DATE(CalYear,12,1),IF(WeekStart="Monday",2,1))+1+16)=12,DATE(CalYear,12,1)-WEEKDAY(DATE(CalYear,12,1),IF(WeekStart="Monday",2,1))+1+16,"")</f>
        <v>0</v>
      </c>
      <c r="AC29" s="11">
        <f>IF(MONTH(DATE(CalYear,12,1)-WEEKDAY(DATE(CalYear,12,1),IF(WeekStart="Monday",2,1))+1+17)=12,DATE(CalYear,12,1)-WEEKDAY(DATE(CalYear,12,1),IF(WeekStart="Monday",2,1))+1+17,"")</f>
        <v>0</v>
      </c>
      <c r="AD29" s="11">
        <f>IF(MONTH(DATE(CalYear,12,1)-WEEKDAY(DATE(CalYear,12,1),IF(WeekStart="Monday",2,1))+1+18)=12,DATE(CalYear,12,1)-WEEKDAY(DATE(CalYear,12,1),IF(WeekStart="Monday",2,1))+1+18,"")</f>
        <v>0</v>
      </c>
      <c r="AE29" s="11">
        <f>IF(MONTH(DATE(CalYear,12,1)-WEEKDAY(DATE(CalYear,12,1),IF(WeekStart="Monday",2,1))+1+19)=12,DATE(CalYear,12,1)-WEEKDAY(DATE(CalYear,12,1),IF(WeekStart="Monday",2,1))+1+19,"")</f>
        <v>0</v>
      </c>
      <c r="AF29" s="11">
        <f>IF(MONTH(DATE(CalYear,12,1)-WEEKDAY(DATE(CalYear,12,1),IF(WeekStart="Monday",2,1))+1+20)=12,DATE(CalYear,12,1)-WEEKDAY(DATE(CalYear,12,1),IF(WeekStart="Monday",2,1))+1+20,"")</f>
        <v>0</v>
      </c>
    </row>
    <row r="30" spans="2:32">
      <c r="B30" s="11">
        <f>IF(MONTH(DATE(CalYear,9,1)-WEEKDAY(DATE(CalYear,9,1),IF(WeekStart="Monday",2,1))+1+21)=9,DATE(CalYear,9,1)-WEEKDAY(DATE(CalYear,9,1),IF(WeekStart="Monday",2,1))+1+21,"")</f>
        <v>0</v>
      </c>
      <c r="C30" s="11">
        <f>IF(MONTH(DATE(CalYear,9,1)-WEEKDAY(DATE(CalYear,9,1),IF(WeekStart="Monday",2,1))+1+22)=9,DATE(CalYear,9,1)-WEEKDAY(DATE(CalYear,9,1),IF(WeekStart="Monday",2,1))+1+22,"")</f>
        <v>0</v>
      </c>
      <c r="D30" s="11">
        <f>IF(MONTH(DATE(CalYear,9,1)-WEEKDAY(DATE(CalYear,9,1),IF(WeekStart="Monday",2,1))+1+23)=9,DATE(CalYear,9,1)-WEEKDAY(DATE(CalYear,9,1),IF(WeekStart="Monday",2,1))+1+23,"")</f>
        <v>0</v>
      </c>
      <c r="E30" s="11">
        <f>IF(MONTH(DATE(CalYear,9,1)-WEEKDAY(DATE(CalYear,9,1),IF(WeekStart="Monday",2,1))+1+24)=9,DATE(CalYear,9,1)-WEEKDAY(DATE(CalYear,9,1),IF(WeekStart="Monday",2,1))+1+24,"")</f>
        <v>0</v>
      </c>
      <c r="F30" s="11">
        <f>IF(MONTH(DATE(CalYear,9,1)-WEEKDAY(DATE(CalYear,9,1),IF(WeekStart="Monday",2,1))+1+25)=9,DATE(CalYear,9,1)-WEEKDAY(DATE(CalYear,9,1),IF(WeekStart="Monday",2,1))+1+25,"")</f>
        <v>0</v>
      </c>
      <c r="G30" s="11">
        <f>IF(MONTH(DATE(CalYear,9,1)-WEEKDAY(DATE(CalYear,9,1),IF(WeekStart="Monday",2,1))+1+26)=9,DATE(CalYear,9,1)-WEEKDAY(DATE(CalYear,9,1),IF(WeekStart="Monday",2,1))+1+26,"")</f>
        <v>0</v>
      </c>
      <c r="H30" s="11">
        <f>IF(MONTH(DATE(CalYear,9,1)-WEEKDAY(DATE(CalYear,9,1),IF(WeekStart="Monday",2,1))+1+27)=9,DATE(CalYear,9,1)-WEEKDAY(DATE(CalYear,9,1),IF(WeekStart="Monday",2,1))+1+27,"")</f>
        <v>0</v>
      </c>
      <c r="J30" s="11">
        <f>IF(MONTH(DATE(CalYear,10,1)-WEEKDAY(DATE(CalYear,10,1),IF(WeekStart="Monday",2,1))+1+21)=10,DATE(CalYear,10,1)-WEEKDAY(DATE(CalYear,10,1),IF(WeekStart="Monday",2,1))+1+21,"")</f>
        <v>0</v>
      </c>
      <c r="K30" s="11">
        <f>IF(MONTH(DATE(CalYear,10,1)-WEEKDAY(DATE(CalYear,10,1),IF(WeekStart="Monday",2,1))+1+22)=10,DATE(CalYear,10,1)-WEEKDAY(DATE(CalYear,10,1),IF(WeekStart="Monday",2,1))+1+22,"")</f>
        <v>0</v>
      </c>
      <c r="L30" s="11">
        <f>IF(MONTH(DATE(CalYear,10,1)-WEEKDAY(DATE(CalYear,10,1),IF(WeekStart="Monday",2,1))+1+23)=10,DATE(CalYear,10,1)-WEEKDAY(DATE(CalYear,10,1),IF(WeekStart="Monday",2,1))+1+23,"")</f>
        <v>0</v>
      </c>
      <c r="M30" s="11">
        <f>IF(MONTH(DATE(CalYear,10,1)-WEEKDAY(DATE(CalYear,10,1),IF(WeekStart="Monday",2,1))+1+24)=10,DATE(CalYear,10,1)-WEEKDAY(DATE(CalYear,10,1),IF(WeekStart="Monday",2,1))+1+24,"")</f>
        <v>0</v>
      </c>
      <c r="N30" s="11">
        <f>IF(MONTH(DATE(CalYear,10,1)-WEEKDAY(DATE(CalYear,10,1),IF(WeekStart="Monday",2,1))+1+25)=10,DATE(CalYear,10,1)-WEEKDAY(DATE(CalYear,10,1),IF(WeekStart="Monday",2,1))+1+25,"")</f>
        <v>0</v>
      </c>
      <c r="O30" s="11">
        <f>IF(MONTH(DATE(CalYear,10,1)-WEEKDAY(DATE(CalYear,10,1),IF(WeekStart="Monday",2,1))+1+26)=10,DATE(CalYear,10,1)-WEEKDAY(DATE(CalYear,10,1),IF(WeekStart="Monday",2,1))+1+26,"")</f>
        <v>0</v>
      </c>
      <c r="P30" s="11">
        <f>IF(MONTH(DATE(CalYear,10,1)-WEEKDAY(DATE(CalYear,10,1),IF(WeekStart="Monday",2,1))+1+27)=10,DATE(CalYear,10,1)-WEEKDAY(DATE(CalYear,10,1),IF(WeekStart="Monday",2,1))+1+27,"")</f>
        <v>0</v>
      </c>
      <c r="R30" s="11">
        <f>IF(MONTH(DATE(CalYear,11,1)-WEEKDAY(DATE(CalYear,11,1),IF(WeekStart="Monday",2,1))+1+21)=11,DATE(CalYear,11,1)-WEEKDAY(DATE(CalYear,11,1),IF(WeekStart="Monday",2,1))+1+21,"")</f>
        <v>0</v>
      </c>
      <c r="S30" s="11">
        <f>IF(MONTH(DATE(CalYear,11,1)-WEEKDAY(DATE(CalYear,11,1),IF(WeekStart="Monday",2,1))+1+22)=11,DATE(CalYear,11,1)-WEEKDAY(DATE(CalYear,11,1),IF(WeekStart="Monday",2,1))+1+22,"")</f>
        <v>0</v>
      </c>
      <c r="T30" s="11">
        <f>IF(MONTH(DATE(CalYear,11,1)-WEEKDAY(DATE(CalYear,11,1),IF(WeekStart="Monday",2,1))+1+23)=11,DATE(CalYear,11,1)-WEEKDAY(DATE(CalYear,11,1),IF(WeekStart="Monday",2,1))+1+23,"")</f>
        <v>0</v>
      </c>
      <c r="U30" s="11">
        <f>IF(MONTH(DATE(CalYear,11,1)-WEEKDAY(DATE(CalYear,11,1),IF(WeekStart="Monday",2,1))+1+24)=11,DATE(CalYear,11,1)-WEEKDAY(DATE(CalYear,11,1),IF(WeekStart="Monday",2,1))+1+24,"")</f>
        <v>0</v>
      </c>
      <c r="V30" s="11">
        <f>IF(MONTH(DATE(CalYear,11,1)-WEEKDAY(DATE(CalYear,11,1),IF(WeekStart="Monday",2,1))+1+25)=11,DATE(CalYear,11,1)-WEEKDAY(DATE(CalYear,11,1),IF(WeekStart="Monday",2,1))+1+25,"")</f>
        <v>0</v>
      </c>
      <c r="W30" s="11">
        <f>IF(MONTH(DATE(CalYear,11,1)-WEEKDAY(DATE(CalYear,11,1),IF(WeekStart="Monday",2,1))+1+26)=11,DATE(CalYear,11,1)-WEEKDAY(DATE(CalYear,11,1),IF(WeekStart="Monday",2,1))+1+26,"")</f>
        <v>0</v>
      </c>
      <c r="X30" s="11">
        <f>IF(MONTH(DATE(CalYear,11,1)-WEEKDAY(DATE(CalYear,11,1),IF(WeekStart="Monday",2,1))+1+27)=11,DATE(CalYear,11,1)-WEEKDAY(DATE(CalYear,11,1),IF(WeekStart="Monday",2,1))+1+27,"")</f>
        <v>0</v>
      </c>
      <c r="Z30" s="11">
        <f>IF(MONTH(DATE(CalYear,12,1)-WEEKDAY(DATE(CalYear,12,1),IF(WeekStart="Monday",2,1))+1+21)=12,DATE(CalYear,12,1)-WEEKDAY(DATE(CalYear,12,1),IF(WeekStart="Monday",2,1))+1+21,"")</f>
        <v>0</v>
      </c>
      <c r="AA30" s="11">
        <f>IF(MONTH(DATE(CalYear,12,1)-WEEKDAY(DATE(CalYear,12,1),IF(WeekStart="Monday",2,1))+1+22)=12,DATE(CalYear,12,1)-WEEKDAY(DATE(CalYear,12,1),IF(WeekStart="Monday",2,1))+1+22,"")</f>
        <v>0</v>
      </c>
      <c r="AB30" s="11">
        <f>IF(MONTH(DATE(CalYear,12,1)-WEEKDAY(DATE(CalYear,12,1),IF(WeekStart="Monday",2,1))+1+23)=12,DATE(CalYear,12,1)-WEEKDAY(DATE(CalYear,12,1),IF(WeekStart="Monday",2,1))+1+23,"")</f>
        <v>0</v>
      </c>
      <c r="AC30" s="11">
        <f>IF(MONTH(DATE(CalYear,12,1)-WEEKDAY(DATE(CalYear,12,1),IF(WeekStart="Monday",2,1))+1+24)=12,DATE(CalYear,12,1)-WEEKDAY(DATE(CalYear,12,1),IF(WeekStart="Monday",2,1))+1+24,"")</f>
        <v>0</v>
      </c>
      <c r="AD30" s="11">
        <f>IF(MONTH(DATE(CalYear,12,1)-WEEKDAY(DATE(CalYear,12,1),IF(WeekStart="Monday",2,1))+1+25)=12,DATE(CalYear,12,1)-WEEKDAY(DATE(CalYear,12,1),IF(WeekStart="Monday",2,1))+1+25,"")</f>
        <v>0</v>
      </c>
      <c r="AE30" s="11">
        <f>IF(MONTH(DATE(CalYear,12,1)-WEEKDAY(DATE(CalYear,12,1),IF(WeekStart="Monday",2,1))+1+26)=12,DATE(CalYear,12,1)-WEEKDAY(DATE(CalYear,12,1),IF(WeekStart="Monday",2,1))+1+26,"")</f>
        <v>0</v>
      </c>
      <c r="AF30" s="11">
        <f>IF(MONTH(DATE(CalYear,12,1)-WEEKDAY(DATE(CalYear,12,1),IF(WeekStart="Monday",2,1))+1+27)=12,DATE(CalYear,12,1)-WEEKDAY(DATE(CalYear,12,1),IF(WeekStart="Monday",2,1))+1+27,"")</f>
        <v>0</v>
      </c>
    </row>
    <row r="31" spans="2:32">
      <c r="B31" s="11">
        <f>IF(MONTH(DATE(CalYear,9,1)-WEEKDAY(DATE(CalYear,9,1),IF(WeekStart="Monday",2,1))+1+28)=9,DATE(CalYear,9,1)-WEEKDAY(DATE(CalYear,9,1),IF(WeekStart="Monday",2,1))+1+28,"")</f>
        <v>0</v>
      </c>
      <c r="C31" s="11">
        <f>IF(MONTH(DATE(CalYear,9,1)-WEEKDAY(DATE(CalYear,9,1),IF(WeekStart="Monday",2,1))+1+29)=9,DATE(CalYear,9,1)-WEEKDAY(DATE(CalYear,9,1),IF(WeekStart="Monday",2,1))+1+29,"")</f>
        <v>0</v>
      </c>
      <c r="D31" s="11">
        <f>IF(MONTH(DATE(CalYear,9,1)-WEEKDAY(DATE(CalYear,9,1),IF(WeekStart="Monday",2,1))+1+30)=9,DATE(CalYear,9,1)-WEEKDAY(DATE(CalYear,9,1),IF(WeekStart="Monday",2,1))+1+30,"")</f>
        <v>0</v>
      </c>
      <c r="E31" s="11">
        <f>IF(MONTH(DATE(CalYear,9,1)-WEEKDAY(DATE(CalYear,9,1),IF(WeekStart="Monday",2,1))+1+31)=9,DATE(CalYear,9,1)-WEEKDAY(DATE(CalYear,9,1),IF(WeekStart="Monday",2,1))+1+31,"")</f>
        <v>0</v>
      </c>
      <c r="F31" s="11">
        <f>IF(MONTH(DATE(CalYear,9,1)-WEEKDAY(DATE(CalYear,9,1),IF(WeekStart="Monday",2,1))+1+32)=9,DATE(CalYear,9,1)-WEEKDAY(DATE(CalYear,9,1),IF(WeekStart="Monday",2,1))+1+32,"")</f>
        <v>0</v>
      </c>
      <c r="G31" s="11">
        <f>IF(MONTH(DATE(CalYear,9,1)-WEEKDAY(DATE(CalYear,9,1),IF(WeekStart="Monday",2,1))+1+33)=9,DATE(CalYear,9,1)-WEEKDAY(DATE(CalYear,9,1),IF(WeekStart="Monday",2,1))+1+33,"")</f>
        <v>0</v>
      </c>
      <c r="H31" s="11">
        <f>IF(MONTH(DATE(CalYear,9,1)-WEEKDAY(DATE(CalYear,9,1),IF(WeekStart="Monday",2,1))+1+34)=9,DATE(CalYear,9,1)-WEEKDAY(DATE(CalYear,9,1),IF(WeekStart="Monday",2,1))+1+34,"")</f>
        <v>0</v>
      </c>
      <c r="J31" s="11">
        <f>IF(MONTH(DATE(CalYear,10,1)-WEEKDAY(DATE(CalYear,10,1),IF(WeekStart="Monday",2,1))+1+28)=10,DATE(CalYear,10,1)-WEEKDAY(DATE(CalYear,10,1),IF(WeekStart="Monday",2,1))+1+28,"")</f>
        <v>0</v>
      </c>
      <c r="K31" s="11">
        <f>IF(MONTH(DATE(CalYear,10,1)-WEEKDAY(DATE(CalYear,10,1),IF(WeekStart="Monday",2,1))+1+29)=10,DATE(CalYear,10,1)-WEEKDAY(DATE(CalYear,10,1),IF(WeekStart="Monday",2,1))+1+29,"")</f>
        <v>0</v>
      </c>
      <c r="L31" s="11">
        <f>IF(MONTH(DATE(CalYear,10,1)-WEEKDAY(DATE(CalYear,10,1),IF(WeekStart="Monday",2,1))+1+30)=10,DATE(CalYear,10,1)-WEEKDAY(DATE(CalYear,10,1),IF(WeekStart="Monday",2,1))+1+30,"")</f>
        <v>0</v>
      </c>
      <c r="M31" s="11">
        <f>IF(MONTH(DATE(CalYear,10,1)-WEEKDAY(DATE(CalYear,10,1),IF(WeekStart="Monday",2,1))+1+31)=10,DATE(CalYear,10,1)-WEEKDAY(DATE(CalYear,10,1),IF(WeekStart="Monday",2,1))+1+31,"")</f>
        <v>0</v>
      </c>
      <c r="N31" s="11">
        <f>IF(MONTH(DATE(CalYear,10,1)-WEEKDAY(DATE(CalYear,10,1),IF(WeekStart="Monday",2,1))+1+32)=10,DATE(CalYear,10,1)-WEEKDAY(DATE(CalYear,10,1),IF(WeekStart="Monday",2,1))+1+32,"")</f>
        <v>0</v>
      </c>
      <c r="O31" s="11">
        <f>IF(MONTH(DATE(CalYear,10,1)-WEEKDAY(DATE(CalYear,10,1),IF(WeekStart="Monday",2,1))+1+33)=10,DATE(CalYear,10,1)-WEEKDAY(DATE(CalYear,10,1),IF(WeekStart="Monday",2,1))+1+33,"")</f>
        <v>0</v>
      </c>
      <c r="P31" s="11">
        <f>IF(MONTH(DATE(CalYear,10,1)-WEEKDAY(DATE(CalYear,10,1),IF(WeekStart="Monday",2,1))+1+34)=10,DATE(CalYear,10,1)-WEEKDAY(DATE(CalYear,10,1),IF(WeekStart="Monday",2,1))+1+34,"")</f>
        <v>0</v>
      </c>
      <c r="R31" s="11">
        <f>IF(MONTH(DATE(CalYear,11,1)-WEEKDAY(DATE(CalYear,11,1),IF(WeekStart="Monday",2,1))+1+28)=11,DATE(CalYear,11,1)-WEEKDAY(DATE(CalYear,11,1),IF(WeekStart="Monday",2,1))+1+28,"")</f>
        <v>0</v>
      </c>
      <c r="S31" s="11">
        <f>IF(MONTH(DATE(CalYear,11,1)-WEEKDAY(DATE(CalYear,11,1),IF(WeekStart="Monday",2,1))+1+29)=11,DATE(CalYear,11,1)-WEEKDAY(DATE(CalYear,11,1),IF(WeekStart="Monday",2,1))+1+29,"")</f>
        <v>0</v>
      </c>
      <c r="T31" s="11">
        <f>IF(MONTH(DATE(CalYear,11,1)-WEEKDAY(DATE(CalYear,11,1),IF(WeekStart="Monday",2,1))+1+30)=11,DATE(CalYear,11,1)-WEEKDAY(DATE(CalYear,11,1),IF(WeekStart="Monday",2,1))+1+30,"")</f>
        <v>0</v>
      </c>
      <c r="U31" s="11">
        <f>IF(MONTH(DATE(CalYear,11,1)-WEEKDAY(DATE(CalYear,11,1),IF(WeekStart="Monday",2,1))+1+31)=11,DATE(CalYear,11,1)-WEEKDAY(DATE(CalYear,11,1),IF(WeekStart="Monday",2,1))+1+31,"")</f>
        <v>0</v>
      </c>
      <c r="V31" s="11">
        <f>IF(MONTH(DATE(CalYear,11,1)-WEEKDAY(DATE(CalYear,11,1),IF(WeekStart="Monday",2,1))+1+32)=11,DATE(CalYear,11,1)-WEEKDAY(DATE(CalYear,11,1),IF(WeekStart="Monday",2,1))+1+32,"")</f>
        <v>0</v>
      </c>
      <c r="W31" s="11">
        <f>IF(MONTH(DATE(CalYear,11,1)-WEEKDAY(DATE(CalYear,11,1),IF(WeekStart="Monday",2,1))+1+33)=11,DATE(CalYear,11,1)-WEEKDAY(DATE(CalYear,11,1),IF(WeekStart="Monday",2,1))+1+33,"")</f>
        <v>0</v>
      </c>
      <c r="X31" s="11">
        <f>IF(MONTH(DATE(CalYear,11,1)-WEEKDAY(DATE(CalYear,11,1),IF(WeekStart="Monday",2,1))+1+34)=11,DATE(CalYear,11,1)-WEEKDAY(DATE(CalYear,11,1),IF(WeekStart="Monday",2,1))+1+34,"")</f>
        <v>0</v>
      </c>
      <c r="Z31" s="11">
        <f>IF(MONTH(DATE(CalYear,12,1)-WEEKDAY(DATE(CalYear,12,1),IF(WeekStart="Monday",2,1))+1+28)=12,DATE(CalYear,12,1)-WEEKDAY(DATE(CalYear,12,1),IF(WeekStart="Monday",2,1))+1+28,"")</f>
        <v>0</v>
      </c>
      <c r="AA31" s="11">
        <f>IF(MONTH(DATE(CalYear,12,1)-WEEKDAY(DATE(CalYear,12,1),IF(WeekStart="Monday",2,1))+1+29)=12,DATE(CalYear,12,1)-WEEKDAY(DATE(CalYear,12,1),IF(WeekStart="Monday",2,1))+1+29,"")</f>
        <v>0</v>
      </c>
      <c r="AB31" s="11">
        <f>IF(MONTH(DATE(CalYear,12,1)-WEEKDAY(DATE(CalYear,12,1),IF(WeekStart="Monday",2,1))+1+30)=12,DATE(CalYear,12,1)-WEEKDAY(DATE(CalYear,12,1),IF(WeekStart="Monday",2,1))+1+30,"")</f>
        <v>0</v>
      </c>
      <c r="AC31" s="11">
        <f>IF(MONTH(DATE(CalYear,12,1)-WEEKDAY(DATE(CalYear,12,1),IF(WeekStart="Monday",2,1))+1+31)=12,DATE(CalYear,12,1)-WEEKDAY(DATE(CalYear,12,1),IF(WeekStart="Monday",2,1))+1+31,"")</f>
        <v>0</v>
      </c>
      <c r="AD31" s="11">
        <f>IF(MONTH(DATE(CalYear,12,1)-WEEKDAY(DATE(CalYear,12,1),IF(WeekStart="Monday",2,1))+1+32)=12,DATE(CalYear,12,1)-WEEKDAY(DATE(CalYear,12,1),IF(WeekStart="Monday",2,1))+1+32,"")</f>
        <v>0</v>
      </c>
      <c r="AE31" s="11">
        <f>IF(MONTH(DATE(CalYear,12,1)-WEEKDAY(DATE(CalYear,12,1),IF(WeekStart="Monday",2,1))+1+33)=12,DATE(CalYear,12,1)-WEEKDAY(DATE(CalYear,12,1),IF(WeekStart="Monday",2,1))+1+33,"")</f>
        <v>0</v>
      </c>
      <c r="AF31" s="11">
        <f>IF(MONTH(DATE(CalYear,12,1)-WEEKDAY(DATE(CalYear,12,1),IF(WeekStart="Monday",2,1))+1+34)=12,DATE(CalYear,12,1)-WEEKDAY(DATE(CalYear,12,1),IF(WeekStart="Monday",2,1))+1+34,"")</f>
        <v>0</v>
      </c>
    </row>
    <row r="32" spans="2:32">
      <c r="B32" s="11">
        <f>IF(MONTH(DATE(CalYear,9,1)-WEEKDAY(DATE(CalYear,9,1),IF(WeekStart="Monday",2,1))+1+35)=9,DATE(CalYear,9,1)-WEEKDAY(DATE(CalYear,9,1),IF(WeekStart="Monday",2,1))+1+35,"")</f>
        <v>0</v>
      </c>
      <c r="C32" s="11">
        <f>IF(MONTH(DATE(CalYear,9,1)-WEEKDAY(DATE(CalYear,9,1),IF(WeekStart="Monday",2,1))+1+36)=9,DATE(CalYear,9,1)-WEEKDAY(DATE(CalYear,9,1),IF(WeekStart="Monday",2,1))+1+36,"")</f>
        <v>0</v>
      </c>
      <c r="D32" s="11">
        <f>IF(MONTH(DATE(CalYear,9,1)-WEEKDAY(DATE(CalYear,9,1),IF(WeekStart="Monday",2,1))+1+37)=9,DATE(CalYear,9,1)-WEEKDAY(DATE(CalYear,9,1),IF(WeekStart="Monday",2,1))+1+37,"")</f>
        <v>0</v>
      </c>
      <c r="E32" s="11">
        <f>IF(MONTH(DATE(CalYear,9,1)-WEEKDAY(DATE(CalYear,9,1),IF(WeekStart="Monday",2,1))+1+38)=9,DATE(CalYear,9,1)-WEEKDAY(DATE(CalYear,9,1),IF(WeekStart="Monday",2,1))+1+38,"")</f>
        <v>0</v>
      </c>
      <c r="F32" s="11">
        <f>IF(MONTH(DATE(CalYear,9,1)-WEEKDAY(DATE(CalYear,9,1),IF(WeekStart="Monday",2,1))+1+39)=9,DATE(CalYear,9,1)-WEEKDAY(DATE(CalYear,9,1),IF(WeekStart="Monday",2,1))+1+39,"")</f>
        <v>0</v>
      </c>
      <c r="G32" s="11">
        <f>IF(MONTH(DATE(CalYear,9,1)-WEEKDAY(DATE(CalYear,9,1),IF(WeekStart="Monday",2,1))+1+40)=9,DATE(CalYear,9,1)-WEEKDAY(DATE(CalYear,9,1),IF(WeekStart="Monday",2,1))+1+40,"")</f>
        <v>0</v>
      </c>
      <c r="H32" s="11">
        <f>IF(MONTH(DATE(CalYear,9,1)-WEEKDAY(DATE(CalYear,9,1),IF(WeekStart="Monday",2,1))+1+41)=9,DATE(CalYear,9,1)-WEEKDAY(DATE(CalYear,9,1),IF(WeekStart="Monday",2,1))+1+41,"")</f>
        <v>0</v>
      </c>
      <c r="J32" s="11">
        <f>IF(MONTH(DATE(CalYear,10,1)-WEEKDAY(DATE(CalYear,10,1),IF(WeekStart="Monday",2,1))+1+35)=10,DATE(CalYear,10,1)-WEEKDAY(DATE(CalYear,10,1),IF(WeekStart="Monday",2,1))+1+35,"")</f>
        <v>0</v>
      </c>
      <c r="K32" s="11">
        <f>IF(MONTH(DATE(CalYear,10,1)-WEEKDAY(DATE(CalYear,10,1),IF(WeekStart="Monday",2,1))+1+36)=10,DATE(CalYear,10,1)-WEEKDAY(DATE(CalYear,10,1),IF(WeekStart="Monday",2,1))+1+36,"")</f>
        <v>0</v>
      </c>
      <c r="L32" s="11">
        <f>IF(MONTH(DATE(CalYear,10,1)-WEEKDAY(DATE(CalYear,10,1),IF(WeekStart="Monday",2,1))+1+37)=10,DATE(CalYear,10,1)-WEEKDAY(DATE(CalYear,10,1),IF(WeekStart="Monday",2,1))+1+37,"")</f>
        <v>0</v>
      </c>
      <c r="M32" s="11">
        <f>IF(MONTH(DATE(CalYear,10,1)-WEEKDAY(DATE(CalYear,10,1),IF(WeekStart="Monday",2,1))+1+38)=10,DATE(CalYear,10,1)-WEEKDAY(DATE(CalYear,10,1),IF(WeekStart="Monday",2,1))+1+38,"")</f>
        <v>0</v>
      </c>
      <c r="N32" s="11">
        <f>IF(MONTH(DATE(CalYear,10,1)-WEEKDAY(DATE(CalYear,10,1),IF(WeekStart="Monday",2,1))+1+39)=10,DATE(CalYear,10,1)-WEEKDAY(DATE(CalYear,10,1),IF(WeekStart="Monday",2,1))+1+39,"")</f>
        <v>0</v>
      </c>
      <c r="O32" s="11">
        <f>IF(MONTH(DATE(CalYear,10,1)-WEEKDAY(DATE(CalYear,10,1),IF(WeekStart="Monday",2,1))+1+40)=10,DATE(CalYear,10,1)-WEEKDAY(DATE(CalYear,10,1),IF(WeekStart="Monday",2,1))+1+40,"")</f>
        <v>0</v>
      </c>
      <c r="P32" s="11">
        <f>IF(MONTH(DATE(CalYear,10,1)-WEEKDAY(DATE(CalYear,10,1),IF(WeekStart="Monday",2,1))+1+41)=10,DATE(CalYear,10,1)-WEEKDAY(DATE(CalYear,10,1),IF(WeekStart="Monday",2,1))+1+41,"")</f>
        <v>0</v>
      </c>
      <c r="R32" s="11">
        <f>IF(MONTH(DATE(CalYear,11,1)-WEEKDAY(DATE(CalYear,11,1),IF(WeekStart="Monday",2,1))+1+35)=11,DATE(CalYear,11,1)-WEEKDAY(DATE(CalYear,11,1),IF(WeekStart="Monday",2,1))+1+35,"")</f>
        <v>0</v>
      </c>
      <c r="S32" s="11">
        <f>IF(MONTH(DATE(CalYear,11,1)-WEEKDAY(DATE(CalYear,11,1),IF(WeekStart="Monday",2,1))+1+36)=11,DATE(CalYear,11,1)-WEEKDAY(DATE(CalYear,11,1),IF(WeekStart="Monday",2,1))+1+36,"")</f>
        <v>0</v>
      </c>
      <c r="T32" s="11">
        <f>IF(MONTH(DATE(CalYear,11,1)-WEEKDAY(DATE(CalYear,11,1),IF(WeekStart="Monday",2,1))+1+37)=11,DATE(CalYear,11,1)-WEEKDAY(DATE(CalYear,11,1),IF(WeekStart="Monday",2,1))+1+37,"")</f>
        <v>0</v>
      </c>
      <c r="U32" s="11">
        <f>IF(MONTH(DATE(CalYear,11,1)-WEEKDAY(DATE(CalYear,11,1),IF(WeekStart="Monday",2,1))+1+38)=11,DATE(CalYear,11,1)-WEEKDAY(DATE(CalYear,11,1),IF(WeekStart="Monday",2,1))+1+38,"")</f>
        <v>0</v>
      </c>
      <c r="V32" s="11">
        <f>IF(MONTH(DATE(CalYear,11,1)-WEEKDAY(DATE(CalYear,11,1),IF(WeekStart="Monday",2,1))+1+39)=11,DATE(CalYear,11,1)-WEEKDAY(DATE(CalYear,11,1),IF(WeekStart="Monday",2,1))+1+39,"")</f>
        <v>0</v>
      </c>
      <c r="W32" s="11">
        <f>IF(MONTH(DATE(CalYear,11,1)-WEEKDAY(DATE(CalYear,11,1),IF(WeekStart="Monday",2,1))+1+40)=11,DATE(CalYear,11,1)-WEEKDAY(DATE(CalYear,11,1),IF(WeekStart="Monday",2,1))+1+40,"")</f>
        <v>0</v>
      </c>
      <c r="X32" s="11">
        <f>IF(MONTH(DATE(CalYear,11,1)-WEEKDAY(DATE(CalYear,11,1),IF(WeekStart="Monday",2,1))+1+41)=11,DATE(CalYear,11,1)-WEEKDAY(DATE(CalYear,11,1),IF(WeekStart="Monday",2,1))+1+41,"")</f>
        <v>0</v>
      </c>
      <c r="Z32" s="11">
        <f>IF(MONTH(DATE(CalYear,12,1)-WEEKDAY(DATE(CalYear,12,1),IF(WeekStart="Monday",2,1))+1+35)=12,DATE(CalYear,12,1)-WEEKDAY(DATE(CalYear,12,1),IF(WeekStart="Monday",2,1))+1+35,"")</f>
        <v>0</v>
      </c>
      <c r="AA32" s="11">
        <f>IF(MONTH(DATE(CalYear,12,1)-WEEKDAY(DATE(CalYear,12,1),IF(WeekStart="Monday",2,1))+1+36)=12,DATE(CalYear,12,1)-WEEKDAY(DATE(CalYear,12,1),IF(WeekStart="Monday",2,1))+1+36,"")</f>
        <v>0</v>
      </c>
      <c r="AB32" s="11">
        <f>IF(MONTH(DATE(CalYear,12,1)-WEEKDAY(DATE(CalYear,12,1),IF(WeekStart="Monday",2,1))+1+37)=12,DATE(CalYear,12,1)-WEEKDAY(DATE(CalYear,12,1),IF(WeekStart="Monday",2,1))+1+37,"")</f>
        <v>0</v>
      </c>
      <c r="AC32" s="11">
        <f>IF(MONTH(DATE(CalYear,12,1)-WEEKDAY(DATE(CalYear,12,1),IF(WeekStart="Monday",2,1))+1+38)=12,DATE(CalYear,12,1)-WEEKDAY(DATE(CalYear,12,1),IF(WeekStart="Monday",2,1))+1+38,"")</f>
        <v>0</v>
      </c>
      <c r="AD32" s="11">
        <f>IF(MONTH(DATE(CalYear,12,1)-WEEKDAY(DATE(CalYear,12,1),IF(WeekStart="Monday",2,1))+1+39)=12,DATE(CalYear,12,1)-WEEKDAY(DATE(CalYear,12,1),IF(WeekStart="Monday",2,1))+1+39,"")</f>
        <v>0</v>
      </c>
      <c r="AE32" s="11">
        <f>IF(MONTH(DATE(CalYear,12,1)-WEEKDAY(DATE(CalYear,12,1),IF(WeekStart="Monday",2,1))+1+40)=12,DATE(CalYear,12,1)-WEEKDAY(DATE(CalYear,12,1),IF(WeekStart="Monday",2,1))+1+40,"")</f>
        <v>0</v>
      </c>
      <c r="AF32" s="11">
        <f>IF(MONTH(DATE(CalYear,12,1)-WEEKDAY(DATE(CalYear,12,1),IF(WeekStart="Monday",2,1))+1+41)=12,DATE(CalYear,12,1)-WEEKDAY(DATE(CalYear,12,1),IF(WeekStart="Monday",2,1))+1+41,"")</f>
        <v>0</v>
      </c>
    </row>
    <row r="35" spans="2:32" ht="16" customHeight="1">
      <c r="B35" s="14" t="s">
        <v>16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</sheetData>
  <mergeCells count="18">
    <mergeCell ref="B2:J2"/>
    <mergeCell ref="B3:M3"/>
    <mergeCell ref="Z2:AB2"/>
    <mergeCell ref="AC2:AF2"/>
    <mergeCell ref="Z3:AF3"/>
    <mergeCell ref="B5:H5"/>
    <mergeCell ref="J5:P5"/>
    <mergeCell ref="R5:X5"/>
    <mergeCell ref="Z5:AF5"/>
    <mergeCell ref="B15:H15"/>
    <mergeCell ref="J15:P15"/>
    <mergeCell ref="R15:X15"/>
    <mergeCell ref="Z15:AF15"/>
    <mergeCell ref="B25:H25"/>
    <mergeCell ref="J25:P25"/>
    <mergeCell ref="R25:X25"/>
    <mergeCell ref="Z25:AF25"/>
    <mergeCell ref="B35:AF35"/>
  </mergeCells>
  <conditionalFormatting sqref="B17:H22">
    <cfRule type="expression" dxfId="0" priority="17" stopIfTrue="1">
      <formula>AND(ISNUMBER(B17),B17=TODAY())</formula>
    </cfRule>
    <cfRule type="expression" dxfId="1" priority="18" stopIfTrue="1">
      <formula>AND(ISNUMBER(B17),COUNTIFS(INDIRECT("Holidays!$C$6:$C$60"),B17,INDIRECT("Holidays!$D$6:$D$60"),"Holiday")&gt;0)</formula>
    </cfRule>
    <cfRule type="expression" dxfId="2" priority="19" stopIfTrue="1">
      <formula>AND(ISNUMBER(B17),COUNTIF(INDIRECT("Holidays!$C$6:$C$60"),B17)&gt;0)</formula>
    </cfRule>
    <cfRule type="expression" dxfId="3" priority="20">
      <formula>AND(ISNUMBER(B17),OR(WEEKDAY(B17)=1,WEEKDAY(B17)=7))</formula>
    </cfRule>
  </conditionalFormatting>
  <conditionalFormatting sqref="B27:H32">
    <cfRule type="expression" dxfId="0" priority="33" stopIfTrue="1">
      <formula>AND(ISNUMBER(B27),B27=TODAY())</formula>
    </cfRule>
    <cfRule type="expression" dxfId="1" priority="34" stopIfTrue="1">
      <formula>AND(ISNUMBER(B27),COUNTIFS(INDIRECT("Holidays!$C$6:$C$60"),B27,INDIRECT("Holidays!$D$6:$D$60"),"Holiday")&gt;0)</formula>
    </cfRule>
    <cfRule type="expression" dxfId="2" priority="35" stopIfTrue="1">
      <formula>AND(ISNUMBER(B27),COUNTIF(INDIRECT("Holidays!$C$6:$C$60"),B27)&gt;0)</formula>
    </cfRule>
    <cfRule type="expression" dxfId="3" priority="36">
      <formula>AND(ISNUMBER(B27),OR(WEEKDAY(B27)=1,WEEKDAY(B27)=7))</formula>
    </cfRule>
  </conditionalFormatting>
  <conditionalFormatting sqref="B7:H12">
    <cfRule type="expression" dxfId="0" priority="1" stopIfTrue="1">
      <formula>AND(ISNUMBER(B7),B7=TODAY())</formula>
    </cfRule>
    <cfRule type="expression" dxfId="1" priority="2" stopIfTrue="1">
      <formula>AND(ISNUMBER(B7),COUNTIFS(INDIRECT("Holidays!$C$6:$C$60"),B7,INDIRECT("Holidays!$D$6:$D$60"),"Holiday")&gt;0)</formula>
    </cfRule>
    <cfRule type="expression" dxfId="2" priority="3" stopIfTrue="1">
      <formula>AND(ISNUMBER(B7),COUNTIF(INDIRECT("Holidays!$C$6:$C$60"),B7)&gt;0)</formula>
    </cfRule>
    <cfRule type="expression" dxfId="3" priority="4">
      <formula>AND(ISNUMBER(B7),OR(WEEKDAY(B7)=1,WEEKDAY(B7)=7))</formula>
    </cfRule>
  </conditionalFormatting>
  <conditionalFormatting sqref="J17:P22">
    <cfRule type="expression" dxfId="0" priority="21" stopIfTrue="1">
      <formula>AND(ISNUMBER(J17),J17=TODAY())</formula>
    </cfRule>
    <cfRule type="expression" dxfId="1" priority="22" stopIfTrue="1">
      <formula>AND(ISNUMBER(J17),COUNTIFS(INDIRECT("Holidays!$C$6:$C$60"),J17,INDIRECT("Holidays!$D$6:$D$60"),"Holiday")&gt;0)</formula>
    </cfRule>
    <cfRule type="expression" dxfId="2" priority="23" stopIfTrue="1">
      <formula>AND(ISNUMBER(J17),COUNTIF(INDIRECT("Holidays!$C$6:$C$60"),J17)&gt;0)</formula>
    </cfRule>
    <cfRule type="expression" dxfId="3" priority="24">
      <formula>AND(ISNUMBER(J17),OR(WEEKDAY(J17)=1,WEEKDAY(J17)=7))</formula>
    </cfRule>
  </conditionalFormatting>
  <conditionalFormatting sqref="J27:P32">
    <cfRule type="expression" dxfId="0" priority="37" stopIfTrue="1">
      <formula>AND(ISNUMBER(J27),J27=TODAY())</formula>
    </cfRule>
    <cfRule type="expression" dxfId="1" priority="38" stopIfTrue="1">
      <formula>AND(ISNUMBER(J27),COUNTIFS(INDIRECT("Holidays!$C$6:$C$60"),J27,INDIRECT("Holidays!$D$6:$D$60"),"Holiday")&gt;0)</formula>
    </cfRule>
    <cfRule type="expression" dxfId="2" priority="39" stopIfTrue="1">
      <formula>AND(ISNUMBER(J27),COUNTIF(INDIRECT("Holidays!$C$6:$C$60"),J27)&gt;0)</formula>
    </cfRule>
    <cfRule type="expression" dxfId="3" priority="40">
      <formula>AND(ISNUMBER(J27),OR(WEEKDAY(J27)=1,WEEKDAY(J27)=7))</formula>
    </cfRule>
  </conditionalFormatting>
  <conditionalFormatting sqref="J7:P12">
    <cfRule type="expression" dxfId="0" priority="5" stopIfTrue="1">
      <formula>AND(ISNUMBER(J7),J7=TODAY())</formula>
    </cfRule>
    <cfRule type="expression" dxfId="1" priority="6" stopIfTrue="1">
      <formula>AND(ISNUMBER(J7),COUNTIFS(INDIRECT("Holidays!$C$6:$C$60"),J7,INDIRECT("Holidays!$D$6:$D$60"),"Holiday")&gt;0)</formula>
    </cfRule>
    <cfRule type="expression" dxfId="2" priority="7" stopIfTrue="1">
      <formula>AND(ISNUMBER(J7),COUNTIF(INDIRECT("Holidays!$C$6:$C$60"),J7)&gt;0)</formula>
    </cfRule>
    <cfRule type="expression" dxfId="3" priority="8">
      <formula>AND(ISNUMBER(J7),OR(WEEKDAY(J7)=1,WEEKDAY(J7)=7))</formula>
    </cfRule>
  </conditionalFormatting>
  <conditionalFormatting sqref="R17:X22">
    <cfRule type="expression" dxfId="0" priority="25" stopIfTrue="1">
      <formula>AND(ISNUMBER(R17),R17=TODAY())</formula>
    </cfRule>
    <cfRule type="expression" dxfId="1" priority="26" stopIfTrue="1">
      <formula>AND(ISNUMBER(R17),COUNTIFS(INDIRECT("Holidays!$C$6:$C$60"),R17,INDIRECT("Holidays!$D$6:$D$60"),"Holiday")&gt;0)</formula>
    </cfRule>
    <cfRule type="expression" dxfId="2" priority="27" stopIfTrue="1">
      <formula>AND(ISNUMBER(R17),COUNTIF(INDIRECT("Holidays!$C$6:$C$60"),R17)&gt;0)</formula>
    </cfRule>
    <cfRule type="expression" dxfId="3" priority="28">
      <formula>AND(ISNUMBER(R17),OR(WEEKDAY(R17)=1,WEEKDAY(R17)=7))</formula>
    </cfRule>
  </conditionalFormatting>
  <conditionalFormatting sqref="R27:X32">
    <cfRule type="expression" dxfId="0" priority="41" stopIfTrue="1">
      <formula>AND(ISNUMBER(R27),R27=TODAY())</formula>
    </cfRule>
    <cfRule type="expression" dxfId="1" priority="42" stopIfTrue="1">
      <formula>AND(ISNUMBER(R27),COUNTIFS(INDIRECT("Holidays!$C$6:$C$60"),R27,INDIRECT("Holidays!$D$6:$D$60"),"Holiday")&gt;0)</formula>
    </cfRule>
    <cfRule type="expression" dxfId="2" priority="43" stopIfTrue="1">
      <formula>AND(ISNUMBER(R27),COUNTIF(INDIRECT("Holidays!$C$6:$C$60"),R27)&gt;0)</formula>
    </cfRule>
    <cfRule type="expression" dxfId="3" priority="44">
      <formula>AND(ISNUMBER(R27),OR(WEEKDAY(R27)=1,WEEKDAY(R27)=7))</formula>
    </cfRule>
  </conditionalFormatting>
  <conditionalFormatting sqref="R7:X12">
    <cfRule type="expression" dxfId="0" priority="9" stopIfTrue="1">
      <formula>AND(ISNUMBER(R7),R7=TODAY())</formula>
    </cfRule>
    <cfRule type="expression" dxfId="1" priority="10" stopIfTrue="1">
      <formula>AND(ISNUMBER(R7),COUNTIFS(INDIRECT("Holidays!$C$6:$C$60"),R7,INDIRECT("Holidays!$D$6:$D$60"),"Holiday")&gt;0)</formula>
    </cfRule>
    <cfRule type="expression" dxfId="2" priority="11" stopIfTrue="1">
      <formula>AND(ISNUMBER(R7),COUNTIF(INDIRECT("Holidays!$C$6:$C$60"),R7)&gt;0)</formula>
    </cfRule>
    <cfRule type="expression" dxfId="3" priority="12">
      <formula>AND(ISNUMBER(R7),OR(WEEKDAY(R7)=1,WEEKDAY(R7)=7))</formula>
    </cfRule>
  </conditionalFormatting>
  <conditionalFormatting sqref="Z17:AF22">
    <cfRule type="expression" dxfId="0" priority="29" stopIfTrue="1">
      <formula>AND(ISNUMBER(Z17),Z17=TODAY())</formula>
    </cfRule>
    <cfRule type="expression" dxfId="1" priority="30" stopIfTrue="1">
      <formula>AND(ISNUMBER(Z17),COUNTIFS(INDIRECT("Holidays!$C$6:$C$60"),Z17,INDIRECT("Holidays!$D$6:$D$60"),"Holiday")&gt;0)</formula>
    </cfRule>
    <cfRule type="expression" dxfId="2" priority="31" stopIfTrue="1">
      <formula>AND(ISNUMBER(Z17),COUNTIF(INDIRECT("Holidays!$C$6:$C$60"),Z17)&gt;0)</formula>
    </cfRule>
    <cfRule type="expression" dxfId="3" priority="32">
      <formula>AND(ISNUMBER(Z17),OR(WEEKDAY(Z17)=1,WEEKDAY(Z17)=7))</formula>
    </cfRule>
  </conditionalFormatting>
  <conditionalFormatting sqref="Z27:AF32">
    <cfRule type="expression" dxfId="0" priority="45" stopIfTrue="1">
      <formula>AND(ISNUMBER(Z27),Z27=TODAY())</formula>
    </cfRule>
    <cfRule type="expression" dxfId="1" priority="46" stopIfTrue="1">
      <formula>AND(ISNUMBER(Z27),COUNTIFS(INDIRECT("Holidays!$C$6:$C$60"),Z27,INDIRECT("Holidays!$D$6:$D$60"),"Holiday")&gt;0)</formula>
    </cfRule>
    <cfRule type="expression" dxfId="2" priority="47" stopIfTrue="1">
      <formula>AND(ISNUMBER(Z27),COUNTIF(INDIRECT("Holidays!$C$6:$C$60"),Z27)&gt;0)</formula>
    </cfRule>
    <cfRule type="expression" dxfId="3" priority="48">
      <formula>AND(ISNUMBER(Z27),OR(WEEKDAY(Z27)=1,WEEKDAY(Z27)=7))</formula>
    </cfRule>
  </conditionalFormatting>
  <conditionalFormatting sqref="Z7:AF12">
    <cfRule type="expression" dxfId="0" priority="13" stopIfTrue="1">
      <formula>AND(ISNUMBER(Z7),Z7=TODAY())</formula>
    </cfRule>
    <cfRule type="expression" dxfId="1" priority="14" stopIfTrue="1">
      <formula>AND(ISNUMBER(Z7),COUNTIFS(INDIRECT("Holidays!$C$6:$C$60"),Z7,INDIRECT("Holidays!$D$6:$D$60"),"Holiday")&gt;0)</formula>
    </cfRule>
    <cfRule type="expression" dxfId="2" priority="15" stopIfTrue="1">
      <formula>AND(ISNUMBER(Z7),COUNTIF(INDIRECT("Holidays!$C$6:$C$60"),Z7)&gt;0)</formula>
    </cfRule>
    <cfRule type="expression" dxfId="3" priority="16">
      <formula>AND(ISNUMBER(Z7),OR(WEEKDAY(Z7)=1,WEEKDAY(Z7)=7))</formula>
    </cfRule>
  </conditionalFormatting>
  <dataValidations count="2">
    <dataValidation type="whole" allowBlank="1" showInputMessage="1" showErrorMessage="1" errorTitle="Year" error="Enter a 4-digit year, e.g. 2027." promptTitle="Type any year" prompt="Every month tab and the holiday list update automatically." sqref="B2">
      <formula1>1901</formula1>
      <formula2>9998</formula2>
    </dataValidation>
    <dataValidation type="list" allowBlank="1" showInputMessage="1" showErrorMessage="1" promptTitle="Week start" prompt="Choose Sunday or Monday – all calendars re-flow." sqref="AC2">
      <formula1>"Sunday,Monday"</formula1>
    </dataValidation>
  </dataValidations>
  <printOptions horizontalCentered="1"/>
  <pageMargins left="0.4" right="0.4" top="0.4" bottom="0.4" header="0.3" footer="0.3"/>
  <pageSetup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8" width="17.7109375" customWidth="1"/>
    <col min="9" max="9" width="2.28515625" customWidth="1"/>
    <col min="10" max="10" width="24.7109375" customWidth="1"/>
    <col min="11" max="11" width="2.28515625" customWidth="1"/>
  </cols>
  <sheetData>
    <row r="1" spans="2:10" ht="8" customHeight="1"/>
    <row r="2" spans="2:10" ht="46" customHeight="1">
      <c r="B2" s="15" t="s">
        <v>4</v>
      </c>
      <c r="C2" s="15"/>
      <c r="D2" s="15"/>
      <c r="E2" s="15"/>
      <c r="F2" s="15"/>
      <c r="G2" s="16">
        <f>CalYear</f>
        <v>0</v>
      </c>
      <c r="H2" s="16"/>
    </row>
    <row r="3" spans="2:10" ht="18" customHeight="1">
      <c r="B3" s="17" t="s">
        <v>17</v>
      </c>
      <c r="C3" s="17"/>
      <c r="D3" s="17"/>
      <c r="E3" s="17"/>
      <c r="F3" s="17"/>
      <c r="G3" s="17"/>
      <c r="H3" s="17"/>
    </row>
    <row r="4" spans="2:10" ht="22" customHeight="1">
      <c r="B4" s="18">
        <f>IF(WeekStart="Monday",CHOOSE(1,"MON","TUE","WED","THU","FRI","SAT","SUN"),CHOOSE(1,"SUN","MON","TUE","WED","THU","FRI","SAT"))</f>
        <v>0</v>
      </c>
      <c r="C4" s="18">
        <f>IF(WeekStart="Monday",CHOOSE(2,"MON","TUE","WED","THU","FRI","SAT","SUN"),CHOOSE(2,"SUN","MON","TUE","WED","THU","FRI","SAT"))</f>
        <v>0</v>
      </c>
      <c r="D4" s="18">
        <f>IF(WeekStart="Monday",CHOOSE(3,"MON","TUE","WED","THU","FRI","SAT","SUN"),CHOOSE(3,"SUN","MON","TUE","WED","THU","FRI","SAT"))</f>
        <v>0</v>
      </c>
      <c r="E4" s="18">
        <f>IF(WeekStart="Monday",CHOOSE(4,"MON","TUE","WED","THU","FRI","SAT","SUN"),CHOOSE(4,"SUN","MON","TUE","WED","THU","FRI","SAT"))</f>
        <v>0</v>
      </c>
      <c r="F4" s="18">
        <f>IF(WeekStart="Monday",CHOOSE(5,"MON","TUE","WED","THU","FRI","SAT","SUN"),CHOOSE(5,"SUN","MON","TUE","WED","THU","FRI","SAT"))</f>
        <v>0</v>
      </c>
      <c r="G4" s="18">
        <f>IF(WeekStart="Monday",CHOOSE(6,"MON","TUE","WED","THU","FRI","SAT","SUN"),CHOOSE(6,"SUN","MON","TUE","WED","THU","FRI","SAT"))</f>
        <v>0</v>
      </c>
      <c r="H4" s="18">
        <f>IF(WeekStart="Monday",CHOOSE(7,"MON","TUE","WED","THU","FRI","SAT","SUN"),CHOOSE(7,"SUN","MON","TUE","WED","THU","FRI","SAT"))</f>
        <v>0</v>
      </c>
      <c r="J4" s="19" t="s">
        <v>18</v>
      </c>
    </row>
    <row r="5" spans="2:10" ht="21" customHeight="1">
      <c r="B5" s="20">
        <f>DATE(CalYear,1,1)-WEEKDAY(DATE(CalYear,1,1),IF(WeekStart="Monday",2,1))+1</f>
        <v>0</v>
      </c>
      <c r="C5" s="20">
        <f>B5+1</f>
        <v>0</v>
      </c>
      <c r="D5" s="20">
        <f>C5+1</f>
        <v>0</v>
      </c>
      <c r="E5" s="20">
        <f>D5+1</f>
        <v>0</v>
      </c>
      <c r="F5" s="20">
        <f>E5+1</f>
        <v>0</v>
      </c>
      <c r="G5" s="20">
        <f>F5+1</f>
        <v>0</v>
      </c>
      <c r="H5" s="21">
        <f>G5+1</f>
        <v>0</v>
      </c>
      <c r="J5" s="22">
        <f>"WEEK "&amp;TEXT(_xlfn.ISOWEEKNUM(B5+3),"00")</f>
        <v>0</v>
      </c>
    </row>
    <row r="6" spans="2:10" ht="12" customHeight="1">
      <c r="B6" s="23">
        <f>IFERROR(INDEX(Holidays!$B$6:$B$60,MATCH(B5,Holidays!$C$6:$C$60,0)),"")</f>
        <v>0</v>
      </c>
      <c r="C6" s="23">
        <f>IFERROR(INDEX(Holidays!$B$6:$B$60,MATCH(C5,Holidays!$C$6:$C$60,0)),"")</f>
        <v>0</v>
      </c>
      <c r="D6" s="23">
        <f>IFERROR(INDEX(Holidays!$B$6:$B$60,MATCH(D5,Holidays!$C$6:$C$60,0)),"")</f>
        <v>0</v>
      </c>
      <c r="E6" s="23">
        <f>IFERROR(INDEX(Holidays!$B$6:$B$60,MATCH(E5,Holidays!$C$6:$C$60,0)),"")</f>
        <v>0</v>
      </c>
      <c r="F6" s="23">
        <f>IFERROR(INDEX(Holidays!$B$6:$B$60,MATCH(F5,Holidays!$C$6:$C$60,0)),"")</f>
        <v>0</v>
      </c>
      <c r="G6" s="23">
        <f>IFERROR(INDEX(Holidays!$B$6:$B$60,MATCH(G5,Holidays!$C$6:$C$60,0)),"")</f>
        <v>0</v>
      </c>
      <c r="H6" s="24">
        <f>IFERROR(INDEX(Holidays!$B$6:$B$60,MATCH(H5,Holidays!$C$6:$C$60,0)),"")</f>
        <v>0</v>
      </c>
      <c r="J6" s="25"/>
    </row>
    <row r="7" spans="2:10" ht="18" customHeight="1">
      <c r="B7" s="26"/>
      <c r="C7" s="26"/>
      <c r="D7" s="26"/>
      <c r="E7" s="26"/>
      <c r="F7" s="26"/>
      <c r="G7" s="26"/>
      <c r="H7" s="27"/>
      <c r="J7" s="25"/>
    </row>
    <row r="8" spans="2:10" ht="18" customHeight="1">
      <c r="B8" s="26"/>
      <c r="C8" s="26"/>
      <c r="D8" s="26"/>
      <c r="E8" s="26"/>
      <c r="F8" s="26"/>
      <c r="G8" s="26"/>
      <c r="H8" s="27"/>
      <c r="J8" s="25"/>
    </row>
    <row r="9" spans="2:10" ht="18" customHeight="1">
      <c r="B9" s="28"/>
      <c r="C9" s="28"/>
      <c r="D9" s="28"/>
      <c r="E9" s="28"/>
      <c r="F9" s="28"/>
      <c r="G9" s="28"/>
      <c r="H9" s="29"/>
      <c r="J9" s="25"/>
    </row>
    <row r="10" spans="2:10" ht="21" customHeight="1">
      <c r="B10" s="20">
        <f>H5+1</f>
        <v>0</v>
      </c>
      <c r="C10" s="20">
        <f>B10+1</f>
        <v>0</v>
      </c>
      <c r="D10" s="20">
        <f>C10+1</f>
        <v>0</v>
      </c>
      <c r="E10" s="20">
        <f>D10+1</f>
        <v>0</v>
      </c>
      <c r="F10" s="20">
        <f>E10+1</f>
        <v>0</v>
      </c>
      <c r="G10" s="20">
        <f>F10+1</f>
        <v>0</v>
      </c>
      <c r="H10" s="21">
        <f>G10+1</f>
        <v>0</v>
      </c>
      <c r="J10" s="22">
        <f>"WEEK "&amp;TEXT(_xlfn.ISOWEEKNUM(B10+3),"00")</f>
        <v>0</v>
      </c>
    </row>
    <row r="11" spans="2:10" ht="12" customHeight="1">
      <c r="B11" s="23">
        <f>IFERROR(INDEX(Holidays!$B$6:$B$60,MATCH(B10,Holidays!$C$6:$C$60,0)),"")</f>
        <v>0</v>
      </c>
      <c r="C11" s="23">
        <f>IFERROR(INDEX(Holidays!$B$6:$B$60,MATCH(C10,Holidays!$C$6:$C$60,0)),"")</f>
        <v>0</v>
      </c>
      <c r="D11" s="23">
        <f>IFERROR(INDEX(Holidays!$B$6:$B$60,MATCH(D10,Holidays!$C$6:$C$60,0)),"")</f>
        <v>0</v>
      </c>
      <c r="E11" s="23">
        <f>IFERROR(INDEX(Holidays!$B$6:$B$60,MATCH(E10,Holidays!$C$6:$C$60,0)),"")</f>
        <v>0</v>
      </c>
      <c r="F11" s="23">
        <f>IFERROR(INDEX(Holidays!$B$6:$B$60,MATCH(F10,Holidays!$C$6:$C$60,0)),"")</f>
        <v>0</v>
      </c>
      <c r="G11" s="23">
        <f>IFERROR(INDEX(Holidays!$B$6:$B$60,MATCH(G10,Holidays!$C$6:$C$60,0)),"")</f>
        <v>0</v>
      </c>
      <c r="H11" s="24">
        <f>IFERROR(INDEX(Holidays!$B$6:$B$60,MATCH(H10,Holidays!$C$6:$C$60,0)),"")</f>
        <v>0</v>
      </c>
      <c r="J11" s="25"/>
    </row>
    <row r="12" spans="2:10" ht="18" customHeight="1">
      <c r="B12" s="26"/>
      <c r="C12" s="26"/>
      <c r="D12" s="26"/>
      <c r="E12" s="26"/>
      <c r="F12" s="26"/>
      <c r="G12" s="26"/>
      <c r="H12" s="27"/>
      <c r="J12" s="25"/>
    </row>
    <row r="13" spans="2:10" ht="18" customHeight="1">
      <c r="B13" s="26"/>
      <c r="C13" s="26"/>
      <c r="D13" s="26"/>
      <c r="E13" s="26"/>
      <c r="F13" s="26"/>
      <c r="G13" s="26"/>
      <c r="H13" s="27"/>
      <c r="J13" s="25"/>
    </row>
    <row r="14" spans="2:10" ht="18" customHeight="1">
      <c r="B14" s="28"/>
      <c r="C14" s="28"/>
      <c r="D14" s="28"/>
      <c r="E14" s="28"/>
      <c r="F14" s="28"/>
      <c r="G14" s="28"/>
      <c r="H14" s="29"/>
      <c r="J14" s="25"/>
    </row>
    <row r="15" spans="2:10" ht="21" customHeight="1">
      <c r="B15" s="20">
        <f>H10+1</f>
        <v>0</v>
      </c>
      <c r="C15" s="20">
        <f>B15+1</f>
        <v>0</v>
      </c>
      <c r="D15" s="20">
        <f>C15+1</f>
        <v>0</v>
      </c>
      <c r="E15" s="20">
        <f>D15+1</f>
        <v>0</v>
      </c>
      <c r="F15" s="20">
        <f>E15+1</f>
        <v>0</v>
      </c>
      <c r="G15" s="20">
        <f>F15+1</f>
        <v>0</v>
      </c>
      <c r="H15" s="21">
        <f>G15+1</f>
        <v>0</v>
      </c>
      <c r="J15" s="22">
        <f>"WEEK "&amp;TEXT(_xlfn.ISOWEEKNUM(B15+3),"00")</f>
        <v>0</v>
      </c>
    </row>
    <row r="16" spans="2:10" ht="12" customHeight="1">
      <c r="B16" s="23">
        <f>IFERROR(INDEX(Holidays!$B$6:$B$60,MATCH(B15,Holidays!$C$6:$C$60,0)),"")</f>
        <v>0</v>
      </c>
      <c r="C16" s="23">
        <f>IFERROR(INDEX(Holidays!$B$6:$B$60,MATCH(C15,Holidays!$C$6:$C$60,0)),"")</f>
        <v>0</v>
      </c>
      <c r="D16" s="23">
        <f>IFERROR(INDEX(Holidays!$B$6:$B$60,MATCH(D15,Holidays!$C$6:$C$60,0)),"")</f>
        <v>0</v>
      </c>
      <c r="E16" s="23">
        <f>IFERROR(INDEX(Holidays!$B$6:$B$60,MATCH(E15,Holidays!$C$6:$C$60,0)),"")</f>
        <v>0</v>
      </c>
      <c r="F16" s="23">
        <f>IFERROR(INDEX(Holidays!$B$6:$B$60,MATCH(F15,Holidays!$C$6:$C$60,0)),"")</f>
        <v>0</v>
      </c>
      <c r="G16" s="23">
        <f>IFERROR(INDEX(Holidays!$B$6:$B$60,MATCH(G15,Holidays!$C$6:$C$60,0)),"")</f>
        <v>0</v>
      </c>
      <c r="H16" s="24">
        <f>IFERROR(INDEX(Holidays!$B$6:$B$60,MATCH(H15,Holidays!$C$6:$C$60,0)),"")</f>
        <v>0</v>
      </c>
      <c r="J16" s="25"/>
    </row>
    <row r="17" spans="2:10" ht="18" customHeight="1">
      <c r="B17" s="26"/>
      <c r="C17" s="26"/>
      <c r="D17" s="26"/>
      <c r="E17" s="26"/>
      <c r="F17" s="26"/>
      <c r="G17" s="26"/>
      <c r="H17" s="27"/>
      <c r="J17" s="25"/>
    </row>
    <row r="18" spans="2:10" ht="18" customHeight="1">
      <c r="B18" s="26"/>
      <c r="C18" s="26"/>
      <c r="D18" s="26"/>
      <c r="E18" s="26"/>
      <c r="F18" s="26"/>
      <c r="G18" s="26"/>
      <c r="H18" s="27"/>
      <c r="J18" s="25"/>
    </row>
    <row r="19" spans="2:10" ht="18" customHeight="1">
      <c r="B19" s="28"/>
      <c r="C19" s="28"/>
      <c r="D19" s="28"/>
      <c r="E19" s="28"/>
      <c r="F19" s="28"/>
      <c r="G19" s="28"/>
      <c r="H19" s="29"/>
      <c r="J19" s="25"/>
    </row>
    <row r="20" spans="2:10" ht="21" customHeight="1">
      <c r="B20" s="20">
        <f>H15+1</f>
        <v>0</v>
      </c>
      <c r="C20" s="20">
        <f>B20+1</f>
        <v>0</v>
      </c>
      <c r="D20" s="20">
        <f>C20+1</f>
        <v>0</v>
      </c>
      <c r="E20" s="20">
        <f>D20+1</f>
        <v>0</v>
      </c>
      <c r="F20" s="20">
        <f>E20+1</f>
        <v>0</v>
      </c>
      <c r="G20" s="20">
        <f>F20+1</f>
        <v>0</v>
      </c>
      <c r="H20" s="21">
        <f>G20+1</f>
        <v>0</v>
      </c>
      <c r="J20" s="22">
        <f>"WEEK "&amp;TEXT(_xlfn.ISOWEEKNUM(B20+3),"00")</f>
        <v>0</v>
      </c>
    </row>
    <row r="21" spans="2:10" ht="12" customHeight="1">
      <c r="B21" s="23">
        <f>IFERROR(INDEX(Holidays!$B$6:$B$60,MATCH(B20,Holidays!$C$6:$C$60,0)),"")</f>
        <v>0</v>
      </c>
      <c r="C21" s="23">
        <f>IFERROR(INDEX(Holidays!$B$6:$B$60,MATCH(C20,Holidays!$C$6:$C$60,0)),"")</f>
        <v>0</v>
      </c>
      <c r="D21" s="23">
        <f>IFERROR(INDEX(Holidays!$B$6:$B$60,MATCH(D20,Holidays!$C$6:$C$60,0)),"")</f>
        <v>0</v>
      </c>
      <c r="E21" s="23">
        <f>IFERROR(INDEX(Holidays!$B$6:$B$60,MATCH(E20,Holidays!$C$6:$C$60,0)),"")</f>
        <v>0</v>
      </c>
      <c r="F21" s="23">
        <f>IFERROR(INDEX(Holidays!$B$6:$B$60,MATCH(F20,Holidays!$C$6:$C$60,0)),"")</f>
        <v>0</v>
      </c>
      <c r="G21" s="23">
        <f>IFERROR(INDEX(Holidays!$B$6:$B$60,MATCH(G20,Holidays!$C$6:$C$60,0)),"")</f>
        <v>0</v>
      </c>
      <c r="H21" s="24">
        <f>IFERROR(INDEX(Holidays!$B$6:$B$60,MATCH(H20,Holidays!$C$6:$C$60,0)),"")</f>
        <v>0</v>
      </c>
      <c r="J21" s="25"/>
    </row>
    <row r="22" spans="2:10" ht="18" customHeight="1">
      <c r="B22" s="26"/>
      <c r="C22" s="26"/>
      <c r="D22" s="26"/>
      <c r="E22" s="26"/>
      <c r="F22" s="26"/>
      <c r="G22" s="26"/>
      <c r="H22" s="27"/>
      <c r="J22" s="25"/>
    </row>
    <row r="23" spans="2:10" ht="18" customHeight="1">
      <c r="B23" s="26"/>
      <c r="C23" s="26"/>
      <c r="D23" s="26"/>
      <c r="E23" s="26"/>
      <c r="F23" s="26"/>
      <c r="G23" s="26"/>
      <c r="H23" s="27"/>
      <c r="J23" s="25"/>
    </row>
    <row r="24" spans="2:10" ht="18" customHeight="1">
      <c r="B24" s="28"/>
      <c r="C24" s="28"/>
      <c r="D24" s="28"/>
      <c r="E24" s="28"/>
      <c r="F24" s="28"/>
      <c r="G24" s="28"/>
      <c r="H24" s="29"/>
      <c r="J24" s="25"/>
    </row>
    <row r="25" spans="2:10" ht="21" customHeight="1">
      <c r="B25" s="20">
        <f>H20+1</f>
        <v>0</v>
      </c>
      <c r="C25" s="20">
        <f>B25+1</f>
        <v>0</v>
      </c>
      <c r="D25" s="20">
        <f>C25+1</f>
        <v>0</v>
      </c>
      <c r="E25" s="20">
        <f>D25+1</f>
        <v>0</v>
      </c>
      <c r="F25" s="20">
        <f>E25+1</f>
        <v>0</v>
      </c>
      <c r="G25" s="20">
        <f>F25+1</f>
        <v>0</v>
      </c>
      <c r="H25" s="21">
        <f>G25+1</f>
        <v>0</v>
      </c>
      <c r="J25" s="22">
        <f>"WEEK "&amp;TEXT(_xlfn.ISOWEEKNUM(B25+3),"00")</f>
        <v>0</v>
      </c>
    </row>
    <row r="26" spans="2:10" ht="12" customHeight="1">
      <c r="B26" s="23">
        <f>IFERROR(INDEX(Holidays!$B$6:$B$60,MATCH(B25,Holidays!$C$6:$C$60,0)),"")</f>
        <v>0</v>
      </c>
      <c r="C26" s="23">
        <f>IFERROR(INDEX(Holidays!$B$6:$B$60,MATCH(C25,Holidays!$C$6:$C$60,0)),"")</f>
        <v>0</v>
      </c>
      <c r="D26" s="23">
        <f>IFERROR(INDEX(Holidays!$B$6:$B$60,MATCH(D25,Holidays!$C$6:$C$60,0)),"")</f>
        <v>0</v>
      </c>
      <c r="E26" s="23">
        <f>IFERROR(INDEX(Holidays!$B$6:$B$60,MATCH(E25,Holidays!$C$6:$C$60,0)),"")</f>
        <v>0</v>
      </c>
      <c r="F26" s="23">
        <f>IFERROR(INDEX(Holidays!$B$6:$B$60,MATCH(F25,Holidays!$C$6:$C$60,0)),"")</f>
        <v>0</v>
      </c>
      <c r="G26" s="23">
        <f>IFERROR(INDEX(Holidays!$B$6:$B$60,MATCH(G25,Holidays!$C$6:$C$60,0)),"")</f>
        <v>0</v>
      </c>
      <c r="H26" s="24">
        <f>IFERROR(INDEX(Holidays!$B$6:$B$60,MATCH(H25,Holidays!$C$6:$C$60,0)),"")</f>
        <v>0</v>
      </c>
      <c r="J26" s="25"/>
    </row>
    <row r="27" spans="2:10" ht="18" customHeight="1">
      <c r="B27" s="26"/>
      <c r="C27" s="26"/>
      <c r="D27" s="26"/>
      <c r="E27" s="26"/>
      <c r="F27" s="26"/>
      <c r="G27" s="26"/>
      <c r="H27" s="27"/>
      <c r="J27" s="25"/>
    </row>
    <row r="28" spans="2:10" ht="18" customHeight="1">
      <c r="B28" s="26"/>
      <c r="C28" s="26"/>
      <c r="D28" s="26"/>
      <c r="E28" s="26"/>
      <c r="F28" s="26"/>
      <c r="G28" s="26"/>
      <c r="H28" s="27"/>
      <c r="J28" s="25"/>
    </row>
    <row r="29" spans="2:10" ht="18" customHeight="1">
      <c r="B29" s="28"/>
      <c r="C29" s="28"/>
      <c r="D29" s="28"/>
      <c r="E29" s="28"/>
      <c r="F29" s="28"/>
      <c r="G29" s="28"/>
      <c r="H29" s="29"/>
      <c r="J29" s="25"/>
    </row>
    <row r="30" spans="2:10" ht="21" customHeight="1">
      <c r="B30" s="20">
        <f>H25+1</f>
        <v>0</v>
      </c>
      <c r="C30" s="20">
        <f>B30+1</f>
        <v>0</v>
      </c>
      <c r="D30" s="20">
        <f>C30+1</f>
        <v>0</v>
      </c>
      <c r="E30" s="20">
        <f>D30+1</f>
        <v>0</v>
      </c>
      <c r="F30" s="20">
        <f>E30+1</f>
        <v>0</v>
      </c>
      <c r="G30" s="20">
        <f>F30+1</f>
        <v>0</v>
      </c>
      <c r="H30" s="21">
        <f>G30+1</f>
        <v>0</v>
      </c>
      <c r="J30" s="22">
        <f>"WEEK "&amp;TEXT(_xlfn.ISOWEEKNUM(B30+3),"00")</f>
        <v>0</v>
      </c>
    </row>
    <row r="31" spans="2:10" ht="12" customHeight="1">
      <c r="B31" s="23">
        <f>IFERROR(INDEX(Holidays!$B$6:$B$60,MATCH(B30,Holidays!$C$6:$C$60,0)),"")</f>
        <v>0</v>
      </c>
      <c r="C31" s="23">
        <f>IFERROR(INDEX(Holidays!$B$6:$B$60,MATCH(C30,Holidays!$C$6:$C$60,0)),"")</f>
        <v>0</v>
      </c>
      <c r="D31" s="23">
        <f>IFERROR(INDEX(Holidays!$B$6:$B$60,MATCH(D30,Holidays!$C$6:$C$60,0)),"")</f>
        <v>0</v>
      </c>
      <c r="E31" s="23">
        <f>IFERROR(INDEX(Holidays!$B$6:$B$60,MATCH(E30,Holidays!$C$6:$C$60,0)),"")</f>
        <v>0</v>
      </c>
      <c r="F31" s="23">
        <f>IFERROR(INDEX(Holidays!$B$6:$B$60,MATCH(F30,Holidays!$C$6:$C$60,0)),"")</f>
        <v>0</v>
      </c>
      <c r="G31" s="23">
        <f>IFERROR(INDEX(Holidays!$B$6:$B$60,MATCH(G30,Holidays!$C$6:$C$60,0)),"")</f>
        <v>0</v>
      </c>
      <c r="H31" s="24">
        <f>IFERROR(INDEX(Holidays!$B$6:$B$60,MATCH(H30,Holidays!$C$6:$C$60,0)),"")</f>
        <v>0</v>
      </c>
      <c r="J31" s="30"/>
    </row>
    <row r="32" spans="2:10" ht="18" customHeight="1">
      <c r="B32" s="26"/>
      <c r="C32" s="26"/>
      <c r="D32" s="26"/>
      <c r="E32" s="26"/>
      <c r="F32" s="26"/>
      <c r="G32" s="26"/>
      <c r="H32" s="27"/>
      <c r="J32" s="30"/>
    </row>
    <row r="33" spans="2:10" ht="18" customHeight="1">
      <c r="B33" s="26"/>
      <c r="C33" s="26"/>
      <c r="D33" s="26"/>
      <c r="E33" s="26"/>
      <c r="F33" s="26"/>
      <c r="G33" s="26"/>
      <c r="H33" s="27"/>
      <c r="J33" s="30"/>
    </row>
    <row r="34" spans="2:10" ht="18" customHeight="1">
      <c r="B34" s="31"/>
      <c r="C34" s="31"/>
      <c r="D34" s="31"/>
      <c r="E34" s="31"/>
      <c r="F34" s="31"/>
      <c r="G34" s="31"/>
      <c r="H34" s="32"/>
      <c r="J34" s="30"/>
    </row>
    <row r="35" spans="2:10" ht="16" customHeight="1">
      <c r="B35" s="33" t="s">
        <v>19</v>
      </c>
      <c r="C35" s="33"/>
      <c r="D35" s="33"/>
      <c r="E35" s="33"/>
      <c r="F35" s="33"/>
      <c r="G35" s="33"/>
      <c r="H35" s="33"/>
      <c r="I35" s="33"/>
      <c r="J35" s="33"/>
    </row>
  </sheetData>
  <mergeCells count="10">
    <mergeCell ref="B2:F2"/>
    <mergeCell ref="G2:H2"/>
    <mergeCell ref="B3:H3"/>
    <mergeCell ref="J6:J9"/>
    <mergeCell ref="J11:J14"/>
    <mergeCell ref="J16:J19"/>
    <mergeCell ref="J21:J24"/>
    <mergeCell ref="J26:J29"/>
    <mergeCell ref="J31:J34"/>
    <mergeCell ref="B35:J35"/>
  </mergeCells>
  <conditionalFormatting sqref="B10:H14">
    <cfRule type="expression" dxfId="4" priority="8" stopIfTrue="1">
      <formula>AND(ROW()=10,B$10=TODAY())</formula>
    </cfRule>
    <cfRule type="expression" dxfId="5" priority="9" stopIfTrue="1">
      <formula>AND(NOT(MONTH(B$10)=1),OR(WEEKDAY(B$10)=1,WEEKDAY(B$10)=7))</formula>
    </cfRule>
    <cfRule type="expression" dxfId="6" priority="10" stopIfTrue="1">
      <formula>NOT(MONTH(B$10)=1)</formula>
    </cfRule>
    <cfRule type="expression" dxfId="7" priority="11" stopIfTrue="1">
      <formula>AND(ROW()&lt;=11,COUNTIFS(INDIRECT("Holidays!$C$6:$C$60"),B$10,INDIRECT("Holidays!$D$6:$D$60"),"Holiday")&gt;0)</formula>
    </cfRule>
    <cfRule type="expression" dxfId="8" priority="12" stopIfTrue="1">
      <formula>COUNTIFS(INDIRECT("Holidays!$C$6:$C$60"),B$10,INDIRECT("Holidays!$D$6:$D$60"),"Holiday")&gt;0</formula>
    </cfRule>
    <cfRule type="expression" dxfId="8" priority="13" stopIfTrue="1">
      <formula>B$10=TODAY()</formula>
    </cfRule>
    <cfRule type="expression" dxfId="9" priority="14" stopIfTrue="1">
      <formula>OR(WEEKDAY(B$10)=1,WEEKDAY(B$10)=7)</formula>
    </cfRule>
  </conditionalFormatting>
  <conditionalFormatting sqref="B15:H19">
    <cfRule type="expression" dxfId="4" priority="15" stopIfTrue="1">
      <formula>AND(ROW()=15,B$15=TODAY())</formula>
    </cfRule>
    <cfRule type="expression" dxfId="5" priority="16" stopIfTrue="1">
      <formula>AND(NOT(MONTH(B$15)=1),OR(WEEKDAY(B$15)=1,WEEKDAY(B$15)=7))</formula>
    </cfRule>
    <cfRule type="expression" dxfId="6" priority="17" stopIfTrue="1">
      <formula>NOT(MONTH(B$15)=1)</formula>
    </cfRule>
    <cfRule type="expression" dxfId="7" priority="18" stopIfTrue="1">
      <formula>AND(ROW()&lt;=16,COUNTIFS(INDIRECT("Holidays!$C$6:$C$60"),B$15,INDIRECT("Holidays!$D$6:$D$60"),"Holiday")&gt;0)</formula>
    </cfRule>
    <cfRule type="expression" dxfId="8" priority="19" stopIfTrue="1">
      <formula>COUNTIFS(INDIRECT("Holidays!$C$6:$C$60"),B$15,INDIRECT("Holidays!$D$6:$D$60"),"Holiday")&gt;0</formula>
    </cfRule>
    <cfRule type="expression" dxfId="8" priority="20" stopIfTrue="1">
      <formula>B$15=TODAY()</formula>
    </cfRule>
    <cfRule type="expression" dxfId="9" priority="21" stopIfTrue="1">
      <formula>OR(WEEKDAY(B$15)=1,WEEKDAY(B$15)=7)</formula>
    </cfRule>
  </conditionalFormatting>
  <conditionalFormatting sqref="B20:H24">
    <cfRule type="expression" dxfId="4" priority="22" stopIfTrue="1">
      <formula>AND(ROW()=20,B$20=TODAY())</formula>
    </cfRule>
    <cfRule type="expression" dxfId="5" priority="23" stopIfTrue="1">
      <formula>AND(NOT(MONTH(B$20)=1),OR(WEEKDAY(B$20)=1,WEEKDAY(B$20)=7))</formula>
    </cfRule>
    <cfRule type="expression" dxfId="6" priority="24" stopIfTrue="1">
      <formula>NOT(MONTH(B$20)=1)</formula>
    </cfRule>
    <cfRule type="expression" dxfId="7" priority="25" stopIfTrue="1">
      <formula>AND(ROW()&lt;=21,COUNTIFS(INDIRECT("Holidays!$C$6:$C$60"),B$20,INDIRECT("Holidays!$D$6:$D$60"),"Holiday")&gt;0)</formula>
    </cfRule>
    <cfRule type="expression" dxfId="8" priority="26" stopIfTrue="1">
      <formula>COUNTIFS(INDIRECT("Holidays!$C$6:$C$60"),B$20,INDIRECT("Holidays!$D$6:$D$60"),"Holiday")&gt;0</formula>
    </cfRule>
    <cfRule type="expression" dxfId="8" priority="27" stopIfTrue="1">
      <formula>B$20=TODAY()</formula>
    </cfRule>
    <cfRule type="expression" dxfId="9" priority="28" stopIfTrue="1">
      <formula>OR(WEEKDAY(B$20)=1,WEEKDAY(B$20)=7)</formula>
    </cfRule>
  </conditionalFormatting>
  <conditionalFormatting sqref="B25:H29">
    <cfRule type="expression" dxfId="4" priority="29" stopIfTrue="1">
      <formula>AND(ROW()=25,B$25=TODAY())</formula>
    </cfRule>
    <cfRule type="expression" dxfId="5" priority="30" stopIfTrue="1">
      <formula>AND(NOT(MONTH(B$25)=1),OR(WEEKDAY(B$25)=1,WEEKDAY(B$25)=7))</formula>
    </cfRule>
    <cfRule type="expression" dxfId="6" priority="31" stopIfTrue="1">
      <formula>NOT(MONTH(B$25)=1)</formula>
    </cfRule>
    <cfRule type="expression" dxfId="7" priority="32" stopIfTrue="1">
      <formula>AND(ROW()&lt;=26,COUNTIFS(INDIRECT("Holidays!$C$6:$C$60"),B$25,INDIRECT("Holidays!$D$6:$D$60"),"Holiday")&gt;0)</formula>
    </cfRule>
    <cfRule type="expression" dxfId="8" priority="33" stopIfTrue="1">
      <formula>COUNTIFS(INDIRECT("Holidays!$C$6:$C$60"),B$25,INDIRECT("Holidays!$D$6:$D$60"),"Holiday")&gt;0</formula>
    </cfRule>
    <cfRule type="expression" dxfId="8" priority="34" stopIfTrue="1">
      <formula>B$25=TODAY()</formula>
    </cfRule>
    <cfRule type="expression" dxfId="9" priority="35" stopIfTrue="1">
      <formula>OR(WEEKDAY(B$25)=1,WEEKDAY(B$25)=7)</formula>
    </cfRule>
  </conditionalFormatting>
  <conditionalFormatting sqref="B30:H34">
    <cfRule type="expression" dxfId="4" priority="36" stopIfTrue="1">
      <formula>AND(ROW()=30,B$30=TODAY())</formula>
    </cfRule>
    <cfRule type="expression" dxfId="5" priority="37" stopIfTrue="1">
      <formula>AND(NOT(MONTH(B$30)=1),OR(WEEKDAY(B$30)=1,WEEKDAY(B$30)=7))</formula>
    </cfRule>
    <cfRule type="expression" dxfId="6" priority="38" stopIfTrue="1">
      <formula>NOT(MONTH(B$30)=1)</formula>
    </cfRule>
    <cfRule type="expression" dxfId="7" priority="39" stopIfTrue="1">
      <formula>AND(ROW()&lt;=31,COUNTIFS(INDIRECT("Holidays!$C$6:$C$60"),B$30,INDIRECT("Holidays!$D$6:$D$60"),"Holiday")&gt;0)</formula>
    </cfRule>
    <cfRule type="expression" dxfId="8" priority="40" stopIfTrue="1">
      <formula>COUNTIFS(INDIRECT("Holidays!$C$6:$C$60"),B$30,INDIRECT("Holidays!$D$6:$D$60"),"Holiday")&gt;0</formula>
    </cfRule>
    <cfRule type="expression" dxfId="8" priority="41" stopIfTrue="1">
      <formula>B$30=TODAY()</formula>
    </cfRule>
    <cfRule type="expression" dxfId="9" priority="42" stopIfTrue="1">
      <formula>OR(WEEKDAY(B$30)=1,WEEKDAY(B$30)=7)</formula>
    </cfRule>
  </conditionalFormatting>
  <conditionalFormatting sqref="B5:H9">
    <cfRule type="expression" dxfId="4" priority="1" stopIfTrue="1">
      <formula>AND(ROW()=5,B$5=TODAY())</formula>
    </cfRule>
    <cfRule type="expression" dxfId="5" priority="2" stopIfTrue="1">
      <formula>AND(NOT(MONTH(B$5)=1),OR(WEEKDAY(B$5)=1,WEEKDAY(B$5)=7))</formula>
    </cfRule>
    <cfRule type="expression" dxfId="6" priority="3" stopIfTrue="1">
      <formula>NOT(MONTH(B$5)=1)</formula>
    </cfRule>
    <cfRule type="expression" dxfId="7" priority="4" stopIfTrue="1">
      <formula>AND(ROW()&lt;=6,COUNTIFS(INDIRECT("Holidays!$C$6:$C$60"),B$5,INDIRECT("Holidays!$D$6:$D$60"),"Holiday")&gt;0)</formula>
    </cfRule>
    <cfRule type="expression" dxfId="8" priority="5" stopIfTrue="1">
      <formula>COUNTIFS(INDIRECT("Holidays!$C$6:$C$60"),B$5,INDIRECT("Holidays!$D$6:$D$60"),"Holiday")&gt;0</formula>
    </cfRule>
    <cfRule type="expression" dxfId="8" priority="6" stopIfTrue="1">
      <formula>B$5=TODAY()</formula>
    </cfRule>
    <cfRule type="expression" dxfId="9" priority="7" stopIfTrue="1">
      <formula>OR(WEEKDAY(B$5)=1,WEEKDAY(B$5)=7)</formula>
    </cfRule>
  </conditionalFormatting>
  <printOptions horizontalCentered="1"/>
  <pageMargins left="0.4" right="0.4" top="0.4" bottom="0.4" header="0.3" footer="0.3"/>
  <pageSetup orientation="landscape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8" width="17.7109375" customWidth="1"/>
    <col min="9" max="9" width="2.28515625" customWidth="1"/>
    <col min="10" max="10" width="24.7109375" customWidth="1"/>
    <col min="11" max="11" width="2.28515625" customWidth="1"/>
  </cols>
  <sheetData>
    <row r="1" spans="2:10" ht="8" customHeight="1"/>
    <row r="2" spans="2:10" ht="46" customHeight="1">
      <c r="B2" s="34" t="s">
        <v>5</v>
      </c>
      <c r="C2" s="34"/>
      <c r="D2" s="34"/>
      <c r="E2" s="34"/>
      <c r="F2" s="34"/>
      <c r="G2" s="35">
        <f>CalYear</f>
        <v>0</v>
      </c>
      <c r="H2" s="35"/>
    </row>
    <row r="3" spans="2:10" ht="18" customHeight="1">
      <c r="B3" s="17" t="s">
        <v>17</v>
      </c>
      <c r="C3" s="17"/>
      <c r="D3" s="17"/>
      <c r="E3" s="17"/>
      <c r="F3" s="17"/>
      <c r="G3" s="17"/>
      <c r="H3" s="17"/>
    </row>
    <row r="4" spans="2:10" ht="22" customHeight="1">
      <c r="B4" s="36">
        <f>IF(WeekStart="Monday",CHOOSE(1,"MON","TUE","WED","THU","FRI","SAT","SUN"),CHOOSE(1,"SUN","MON","TUE","WED","THU","FRI","SAT"))</f>
        <v>0</v>
      </c>
      <c r="C4" s="36">
        <f>IF(WeekStart="Monday",CHOOSE(2,"MON","TUE","WED","THU","FRI","SAT","SUN"),CHOOSE(2,"SUN","MON","TUE","WED","THU","FRI","SAT"))</f>
        <v>0</v>
      </c>
      <c r="D4" s="36">
        <f>IF(WeekStart="Monday",CHOOSE(3,"MON","TUE","WED","THU","FRI","SAT","SUN"),CHOOSE(3,"SUN","MON","TUE","WED","THU","FRI","SAT"))</f>
        <v>0</v>
      </c>
      <c r="E4" s="36">
        <f>IF(WeekStart="Monday",CHOOSE(4,"MON","TUE","WED","THU","FRI","SAT","SUN"),CHOOSE(4,"SUN","MON","TUE","WED","THU","FRI","SAT"))</f>
        <v>0</v>
      </c>
      <c r="F4" s="36">
        <f>IF(WeekStart="Monday",CHOOSE(5,"MON","TUE","WED","THU","FRI","SAT","SUN"),CHOOSE(5,"SUN","MON","TUE","WED","THU","FRI","SAT"))</f>
        <v>0</v>
      </c>
      <c r="G4" s="36">
        <f>IF(WeekStart="Monday",CHOOSE(6,"MON","TUE","WED","THU","FRI","SAT","SUN"),CHOOSE(6,"SUN","MON","TUE","WED","THU","FRI","SAT"))</f>
        <v>0</v>
      </c>
      <c r="H4" s="36">
        <f>IF(WeekStart="Monday",CHOOSE(7,"MON","TUE","WED","THU","FRI","SAT","SUN"),CHOOSE(7,"SUN","MON","TUE","WED","THU","FRI","SAT"))</f>
        <v>0</v>
      </c>
      <c r="J4" s="37" t="s">
        <v>18</v>
      </c>
    </row>
    <row r="5" spans="2:10" ht="21" customHeight="1">
      <c r="B5" s="20">
        <f>DATE(CalYear,2,1)-WEEKDAY(DATE(CalYear,2,1),IF(WeekStart="Monday",2,1))+1</f>
        <v>0</v>
      </c>
      <c r="C5" s="20">
        <f>B5+1</f>
        <v>0</v>
      </c>
      <c r="D5" s="20">
        <f>C5+1</f>
        <v>0</v>
      </c>
      <c r="E5" s="20">
        <f>D5+1</f>
        <v>0</v>
      </c>
      <c r="F5" s="20">
        <f>E5+1</f>
        <v>0</v>
      </c>
      <c r="G5" s="20">
        <f>F5+1</f>
        <v>0</v>
      </c>
      <c r="H5" s="21">
        <f>G5+1</f>
        <v>0</v>
      </c>
      <c r="J5" s="22">
        <f>"WEEK "&amp;TEXT(_xlfn.ISOWEEKNUM(B5+3),"00")</f>
        <v>0</v>
      </c>
    </row>
    <row r="6" spans="2:10" ht="12" customHeight="1">
      <c r="B6" s="23">
        <f>IFERROR(INDEX(Holidays!$B$6:$B$60,MATCH(B5,Holidays!$C$6:$C$60,0)),"")</f>
        <v>0</v>
      </c>
      <c r="C6" s="23">
        <f>IFERROR(INDEX(Holidays!$B$6:$B$60,MATCH(C5,Holidays!$C$6:$C$60,0)),"")</f>
        <v>0</v>
      </c>
      <c r="D6" s="23">
        <f>IFERROR(INDEX(Holidays!$B$6:$B$60,MATCH(D5,Holidays!$C$6:$C$60,0)),"")</f>
        <v>0</v>
      </c>
      <c r="E6" s="23">
        <f>IFERROR(INDEX(Holidays!$B$6:$B$60,MATCH(E5,Holidays!$C$6:$C$60,0)),"")</f>
        <v>0</v>
      </c>
      <c r="F6" s="23">
        <f>IFERROR(INDEX(Holidays!$B$6:$B$60,MATCH(F5,Holidays!$C$6:$C$60,0)),"")</f>
        <v>0</v>
      </c>
      <c r="G6" s="23">
        <f>IFERROR(INDEX(Holidays!$B$6:$B$60,MATCH(G5,Holidays!$C$6:$C$60,0)),"")</f>
        <v>0</v>
      </c>
      <c r="H6" s="24">
        <f>IFERROR(INDEX(Holidays!$B$6:$B$60,MATCH(H5,Holidays!$C$6:$C$60,0)),"")</f>
        <v>0</v>
      </c>
      <c r="J6" s="25"/>
    </row>
    <row r="7" spans="2:10" ht="18" customHeight="1">
      <c r="B7" s="26"/>
      <c r="C7" s="26"/>
      <c r="D7" s="26"/>
      <c r="E7" s="26"/>
      <c r="F7" s="26"/>
      <c r="G7" s="26"/>
      <c r="H7" s="27"/>
      <c r="J7" s="25"/>
    </row>
    <row r="8" spans="2:10" ht="18" customHeight="1">
      <c r="B8" s="26"/>
      <c r="C8" s="26"/>
      <c r="D8" s="26"/>
      <c r="E8" s="26"/>
      <c r="F8" s="26"/>
      <c r="G8" s="26"/>
      <c r="H8" s="27"/>
      <c r="J8" s="25"/>
    </row>
    <row r="9" spans="2:10" ht="18" customHeight="1">
      <c r="B9" s="28"/>
      <c r="C9" s="28"/>
      <c r="D9" s="28"/>
      <c r="E9" s="28"/>
      <c r="F9" s="28"/>
      <c r="G9" s="28"/>
      <c r="H9" s="29"/>
      <c r="J9" s="25"/>
    </row>
    <row r="10" spans="2:10" ht="21" customHeight="1">
      <c r="B10" s="20">
        <f>H5+1</f>
        <v>0</v>
      </c>
      <c r="C10" s="20">
        <f>B10+1</f>
        <v>0</v>
      </c>
      <c r="D10" s="20">
        <f>C10+1</f>
        <v>0</v>
      </c>
      <c r="E10" s="20">
        <f>D10+1</f>
        <v>0</v>
      </c>
      <c r="F10" s="20">
        <f>E10+1</f>
        <v>0</v>
      </c>
      <c r="G10" s="20">
        <f>F10+1</f>
        <v>0</v>
      </c>
      <c r="H10" s="21">
        <f>G10+1</f>
        <v>0</v>
      </c>
      <c r="J10" s="22">
        <f>"WEEK "&amp;TEXT(_xlfn.ISOWEEKNUM(B10+3),"00")</f>
        <v>0</v>
      </c>
    </row>
    <row r="11" spans="2:10" ht="12" customHeight="1">
      <c r="B11" s="23">
        <f>IFERROR(INDEX(Holidays!$B$6:$B$60,MATCH(B10,Holidays!$C$6:$C$60,0)),"")</f>
        <v>0</v>
      </c>
      <c r="C11" s="23">
        <f>IFERROR(INDEX(Holidays!$B$6:$B$60,MATCH(C10,Holidays!$C$6:$C$60,0)),"")</f>
        <v>0</v>
      </c>
      <c r="D11" s="23">
        <f>IFERROR(INDEX(Holidays!$B$6:$B$60,MATCH(D10,Holidays!$C$6:$C$60,0)),"")</f>
        <v>0</v>
      </c>
      <c r="E11" s="23">
        <f>IFERROR(INDEX(Holidays!$B$6:$B$60,MATCH(E10,Holidays!$C$6:$C$60,0)),"")</f>
        <v>0</v>
      </c>
      <c r="F11" s="23">
        <f>IFERROR(INDEX(Holidays!$B$6:$B$60,MATCH(F10,Holidays!$C$6:$C$60,0)),"")</f>
        <v>0</v>
      </c>
      <c r="G11" s="23">
        <f>IFERROR(INDEX(Holidays!$B$6:$B$60,MATCH(G10,Holidays!$C$6:$C$60,0)),"")</f>
        <v>0</v>
      </c>
      <c r="H11" s="24">
        <f>IFERROR(INDEX(Holidays!$B$6:$B$60,MATCH(H10,Holidays!$C$6:$C$60,0)),"")</f>
        <v>0</v>
      </c>
      <c r="J11" s="25"/>
    </row>
    <row r="12" spans="2:10" ht="18" customHeight="1">
      <c r="B12" s="26"/>
      <c r="C12" s="26"/>
      <c r="D12" s="26"/>
      <c r="E12" s="26"/>
      <c r="F12" s="26"/>
      <c r="G12" s="26"/>
      <c r="H12" s="27"/>
      <c r="J12" s="25"/>
    </row>
    <row r="13" spans="2:10" ht="18" customHeight="1">
      <c r="B13" s="26"/>
      <c r="C13" s="26"/>
      <c r="D13" s="26"/>
      <c r="E13" s="26"/>
      <c r="F13" s="26"/>
      <c r="G13" s="26"/>
      <c r="H13" s="27"/>
      <c r="J13" s="25"/>
    </row>
    <row r="14" spans="2:10" ht="18" customHeight="1">
      <c r="B14" s="28"/>
      <c r="C14" s="28"/>
      <c r="D14" s="28"/>
      <c r="E14" s="28"/>
      <c r="F14" s="28"/>
      <c r="G14" s="28"/>
      <c r="H14" s="29"/>
      <c r="J14" s="25"/>
    </row>
    <row r="15" spans="2:10" ht="21" customHeight="1">
      <c r="B15" s="20">
        <f>H10+1</f>
        <v>0</v>
      </c>
      <c r="C15" s="20">
        <f>B15+1</f>
        <v>0</v>
      </c>
      <c r="D15" s="20">
        <f>C15+1</f>
        <v>0</v>
      </c>
      <c r="E15" s="20">
        <f>D15+1</f>
        <v>0</v>
      </c>
      <c r="F15" s="20">
        <f>E15+1</f>
        <v>0</v>
      </c>
      <c r="G15" s="20">
        <f>F15+1</f>
        <v>0</v>
      </c>
      <c r="H15" s="21">
        <f>G15+1</f>
        <v>0</v>
      </c>
      <c r="J15" s="22">
        <f>"WEEK "&amp;TEXT(_xlfn.ISOWEEKNUM(B15+3),"00")</f>
        <v>0</v>
      </c>
    </row>
    <row r="16" spans="2:10" ht="12" customHeight="1">
      <c r="B16" s="23">
        <f>IFERROR(INDEX(Holidays!$B$6:$B$60,MATCH(B15,Holidays!$C$6:$C$60,0)),"")</f>
        <v>0</v>
      </c>
      <c r="C16" s="23">
        <f>IFERROR(INDEX(Holidays!$B$6:$B$60,MATCH(C15,Holidays!$C$6:$C$60,0)),"")</f>
        <v>0</v>
      </c>
      <c r="D16" s="23">
        <f>IFERROR(INDEX(Holidays!$B$6:$B$60,MATCH(D15,Holidays!$C$6:$C$60,0)),"")</f>
        <v>0</v>
      </c>
      <c r="E16" s="23">
        <f>IFERROR(INDEX(Holidays!$B$6:$B$60,MATCH(E15,Holidays!$C$6:$C$60,0)),"")</f>
        <v>0</v>
      </c>
      <c r="F16" s="23">
        <f>IFERROR(INDEX(Holidays!$B$6:$B$60,MATCH(F15,Holidays!$C$6:$C$60,0)),"")</f>
        <v>0</v>
      </c>
      <c r="G16" s="23">
        <f>IFERROR(INDEX(Holidays!$B$6:$B$60,MATCH(G15,Holidays!$C$6:$C$60,0)),"")</f>
        <v>0</v>
      </c>
      <c r="H16" s="24">
        <f>IFERROR(INDEX(Holidays!$B$6:$B$60,MATCH(H15,Holidays!$C$6:$C$60,0)),"")</f>
        <v>0</v>
      </c>
      <c r="J16" s="25"/>
    </row>
    <row r="17" spans="2:10" ht="18" customHeight="1">
      <c r="B17" s="26"/>
      <c r="C17" s="26"/>
      <c r="D17" s="26"/>
      <c r="E17" s="26"/>
      <c r="F17" s="26"/>
      <c r="G17" s="26"/>
      <c r="H17" s="27"/>
      <c r="J17" s="25"/>
    </row>
    <row r="18" spans="2:10" ht="18" customHeight="1">
      <c r="B18" s="26"/>
      <c r="C18" s="26"/>
      <c r="D18" s="26"/>
      <c r="E18" s="26"/>
      <c r="F18" s="26"/>
      <c r="G18" s="26"/>
      <c r="H18" s="27"/>
      <c r="J18" s="25"/>
    </row>
    <row r="19" spans="2:10" ht="18" customHeight="1">
      <c r="B19" s="28"/>
      <c r="C19" s="28"/>
      <c r="D19" s="28"/>
      <c r="E19" s="28"/>
      <c r="F19" s="28"/>
      <c r="G19" s="28"/>
      <c r="H19" s="29"/>
      <c r="J19" s="25"/>
    </row>
    <row r="20" spans="2:10" ht="21" customHeight="1">
      <c r="B20" s="20">
        <f>H15+1</f>
        <v>0</v>
      </c>
      <c r="C20" s="20">
        <f>B20+1</f>
        <v>0</v>
      </c>
      <c r="D20" s="20">
        <f>C20+1</f>
        <v>0</v>
      </c>
      <c r="E20" s="20">
        <f>D20+1</f>
        <v>0</v>
      </c>
      <c r="F20" s="20">
        <f>E20+1</f>
        <v>0</v>
      </c>
      <c r="G20" s="20">
        <f>F20+1</f>
        <v>0</v>
      </c>
      <c r="H20" s="21">
        <f>G20+1</f>
        <v>0</v>
      </c>
      <c r="J20" s="22">
        <f>"WEEK "&amp;TEXT(_xlfn.ISOWEEKNUM(B20+3),"00")</f>
        <v>0</v>
      </c>
    </row>
    <row r="21" spans="2:10" ht="12" customHeight="1">
      <c r="B21" s="23">
        <f>IFERROR(INDEX(Holidays!$B$6:$B$60,MATCH(B20,Holidays!$C$6:$C$60,0)),"")</f>
        <v>0</v>
      </c>
      <c r="C21" s="23">
        <f>IFERROR(INDEX(Holidays!$B$6:$B$60,MATCH(C20,Holidays!$C$6:$C$60,0)),"")</f>
        <v>0</v>
      </c>
      <c r="D21" s="23">
        <f>IFERROR(INDEX(Holidays!$B$6:$B$60,MATCH(D20,Holidays!$C$6:$C$60,0)),"")</f>
        <v>0</v>
      </c>
      <c r="E21" s="23">
        <f>IFERROR(INDEX(Holidays!$B$6:$B$60,MATCH(E20,Holidays!$C$6:$C$60,0)),"")</f>
        <v>0</v>
      </c>
      <c r="F21" s="23">
        <f>IFERROR(INDEX(Holidays!$B$6:$B$60,MATCH(F20,Holidays!$C$6:$C$60,0)),"")</f>
        <v>0</v>
      </c>
      <c r="G21" s="23">
        <f>IFERROR(INDEX(Holidays!$B$6:$B$60,MATCH(G20,Holidays!$C$6:$C$60,0)),"")</f>
        <v>0</v>
      </c>
      <c r="H21" s="24">
        <f>IFERROR(INDEX(Holidays!$B$6:$B$60,MATCH(H20,Holidays!$C$6:$C$60,0)),"")</f>
        <v>0</v>
      </c>
      <c r="J21" s="25"/>
    </row>
    <row r="22" spans="2:10" ht="18" customHeight="1">
      <c r="B22" s="26"/>
      <c r="C22" s="26"/>
      <c r="D22" s="26"/>
      <c r="E22" s="26"/>
      <c r="F22" s="26"/>
      <c r="G22" s="26"/>
      <c r="H22" s="27"/>
      <c r="J22" s="25"/>
    </row>
    <row r="23" spans="2:10" ht="18" customHeight="1">
      <c r="B23" s="26"/>
      <c r="C23" s="26"/>
      <c r="D23" s="26"/>
      <c r="E23" s="26"/>
      <c r="F23" s="26"/>
      <c r="G23" s="26"/>
      <c r="H23" s="27"/>
      <c r="J23" s="25"/>
    </row>
    <row r="24" spans="2:10" ht="18" customHeight="1">
      <c r="B24" s="28"/>
      <c r="C24" s="28"/>
      <c r="D24" s="28"/>
      <c r="E24" s="28"/>
      <c r="F24" s="28"/>
      <c r="G24" s="28"/>
      <c r="H24" s="29"/>
      <c r="J24" s="25"/>
    </row>
    <row r="25" spans="2:10" ht="21" customHeight="1">
      <c r="B25" s="20">
        <f>H20+1</f>
        <v>0</v>
      </c>
      <c r="C25" s="20">
        <f>B25+1</f>
        <v>0</v>
      </c>
      <c r="D25" s="20">
        <f>C25+1</f>
        <v>0</v>
      </c>
      <c r="E25" s="20">
        <f>D25+1</f>
        <v>0</v>
      </c>
      <c r="F25" s="20">
        <f>E25+1</f>
        <v>0</v>
      </c>
      <c r="G25" s="20">
        <f>F25+1</f>
        <v>0</v>
      </c>
      <c r="H25" s="21">
        <f>G25+1</f>
        <v>0</v>
      </c>
      <c r="J25" s="22">
        <f>"WEEK "&amp;TEXT(_xlfn.ISOWEEKNUM(B25+3),"00")</f>
        <v>0</v>
      </c>
    </row>
    <row r="26" spans="2:10" ht="12" customHeight="1">
      <c r="B26" s="23">
        <f>IFERROR(INDEX(Holidays!$B$6:$B$60,MATCH(B25,Holidays!$C$6:$C$60,0)),"")</f>
        <v>0</v>
      </c>
      <c r="C26" s="23">
        <f>IFERROR(INDEX(Holidays!$B$6:$B$60,MATCH(C25,Holidays!$C$6:$C$60,0)),"")</f>
        <v>0</v>
      </c>
      <c r="D26" s="23">
        <f>IFERROR(INDEX(Holidays!$B$6:$B$60,MATCH(D25,Holidays!$C$6:$C$60,0)),"")</f>
        <v>0</v>
      </c>
      <c r="E26" s="23">
        <f>IFERROR(INDEX(Holidays!$B$6:$B$60,MATCH(E25,Holidays!$C$6:$C$60,0)),"")</f>
        <v>0</v>
      </c>
      <c r="F26" s="23">
        <f>IFERROR(INDEX(Holidays!$B$6:$B$60,MATCH(F25,Holidays!$C$6:$C$60,0)),"")</f>
        <v>0</v>
      </c>
      <c r="G26" s="23">
        <f>IFERROR(INDEX(Holidays!$B$6:$B$60,MATCH(G25,Holidays!$C$6:$C$60,0)),"")</f>
        <v>0</v>
      </c>
      <c r="H26" s="24">
        <f>IFERROR(INDEX(Holidays!$B$6:$B$60,MATCH(H25,Holidays!$C$6:$C$60,0)),"")</f>
        <v>0</v>
      </c>
      <c r="J26" s="25"/>
    </row>
    <row r="27" spans="2:10" ht="18" customHeight="1">
      <c r="B27" s="26"/>
      <c r="C27" s="26"/>
      <c r="D27" s="26"/>
      <c r="E27" s="26"/>
      <c r="F27" s="26"/>
      <c r="G27" s="26"/>
      <c r="H27" s="27"/>
      <c r="J27" s="25"/>
    </row>
    <row r="28" spans="2:10" ht="18" customHeight="1">
      <c r="B28" s="26"/>
      <c r="C28" s="26"/>
      <c r="D28" s="26"/>
      <c r="E28" s="26"/>
      <c r="F28" s="26"/>
      <c r="G28" s="26"/>
      <c r="H28" s="27"/>
      <c r="J28" s="25"/>
    </row>
    <row r="29" spans="2:10" ht="18" customHeight="1">
      <c r="B29" s="28"/>
      <c r="C29" s="28"/>
      <c r="D29" s="28"/>
      <c r="E29" s="28"/>
      <c r="F29" s="28"/>
      <c r="G29" s="28"/>
      <c r="H29" s="29"/>
      <c r="J29" s="25"/>
    </row>
    <row r="30" spans="2:10" ht="21" customHeight="1">
      <c r="B30" s="20">
        <f>H25+1</f>
        <v>0</v>
      </c>
      <c r="C30" s="20">
        <f>B30+1</f>
        <v>0</v>
      </c>
      <c r="D30" s="20">
        <f>C30+1</f>
        <v>0</v>
      </c>
      <c r="E30" s="20">
        <f>D30+1</f>
        <v>0</v>
      </c>
      <c r="F30" s="20">
        <f>E30+1</f>
        <v>0</v>
      </c>
      <c r="G30" s="20">
        <f>F30+1</f>
        <v>0</v>
      </c>
      <c r="H30" s="21">
        <f>G30+1</f>
        <v>0</v>
      </c>
      <c r="J30" s="22">
        <f>"WEEK "&amp;TEXT(_xlfn.ISOWEEKNUM(B30+3),"00")</f>
        <v>0</v>
      </c>
    </row>
    <row r="31" spans="2:10" ht="12" customHeight="1">
      <c r="B31" s="23">
        <f>IFERROR(INDEX(Holidays!$B$6:$B$60,MATCH(B30,Holidays!$C$6:$C$60,0)),"")</f>
        <v>0</v>
      </c>
      <c r="C31" s="23">
        <f>IFERROR(INDEX(Holidays!$B$6:$B$60,MATCH(C30,Holidays!$C$6:$C$60,0)),"")</f>
        <v>0</v>
      </c>
      <c r="D31" s="23">
        <f>IFERROR(INDEX(Holidays!$B$6:$B$60,MATCH(D30,Holidays!$C$6:$C$60,0)),"")</f>
        <v>0</v>
      </c>
      <c r="E31" s="23">
        <f>IFERROR(INDEX(Holidays!$B$6:$B$60,MATCH(E30,Holidays!$C$6:$C$60,0)),"")</f>
        <v>0</v>
      </c>
      <c r="F31" s="23">
        <f>IFERROR(INDEX(Holidays!$B$6:$B$60,MATCH(F30,Holidays!$C$6:$C$60,0)),"")</f>
        <v>0</v>
      </c>
      <c r="G31" s="23">
        <f>IFERROR(INDEX(Holidays!$B$6:$B$60,MATCH(G30,Holidays!$C$6:$C$60,0)),"")</f>
        <v>0</v>
      </c>
      <c r="H31" s="24">
        <f>IFERROR(INDEX(Holidays!$B$6:$B$60,MATCH(H30,Holidays!$C$6:$C$60,0)),"")</f>
        <v>0</v>
      </c>
      <c r="J31" s="30"/>
    </row>
    <row r="32" spans="2:10" ht="18" customHeight="1">
      <c r="B32" s="26"/>
      <c r="C32" s="26"/>
      <c r="D32" s="26"/>
      <c r="E32" s="26"/>
      <c r="F32" s="26"/>
      <c r="G32" s="26"/>
      <c r="H32" s="27"/>
      <c r="J32" s="30"/>
    </row>
    <row r="33" spans="2:10" ht="18" customHeight="1">
      <c r="B33" s="26"/>
      <c r="C33" s="26"/>
      <c r="D33" s="26"/>
      <c r="E33" s="26"/>
      <c r="F33" s="26"/>
      <c r="G33" s="26"/>
      <c r="H33" s="27"/>
      <c r="J33" s="30"/>
    </row>
    <row r="34" spans="2:10" ht="18" customHeight="1">
      <c r="B34" s="31"/>
      <c r="C34" s="31"/>
      <c r="D34" s="31"/>
      <c r="E34" s="31"/>
      <c r="F34" s="31"/>
      <c r="G34" s="31"/>
      <c r="H34" s="32"/>
      <c r="J34" s="30"/>
    </row>
    <row r="35" spans="2:10" ht="16" customHeight="1">
      <c r="B35" s="33" t="s">
        <v>19</v>
      </c>
      <c r="C35" s="33"/>
      <c r="D35" s="33"/>
      <c r="E35" s="33"/>
      <c r="F35" s="33"/>
      <c r="G35" s="33"/>
      <c r="H35" s="33"/>
      <c r="I35" s="33"/>
      <c r="J35" s="33"/>
    </row>
  </sheetData>
  <mergeCells count="10">
    <mergeCell ref="B2:F2"/>
    <mergeCell ref="G2:H2"/>
    <mergeCell ref="B3:H3"/>
    <mergeCell ref="J6:J9"/>
    <mergeCell ref="J11:J14"/>
    <mergeCell ref="J16:J19"/>
    <mergeCell ref="J21:J24"/>
    <mergeCell ref="J26:J29"/>
    <mergeCell ref="J31:J34"/>
    <mergeCell ref="B35:J35"/>
  </mergeCells>
  <conditionalFormatting sqref="B10:H14">
    <cfRule type="expression" dxfId="4" priority="8" stopIfTrue="1">
      <formula>AND(ROW()=10,B$10=TODAY())</formula>
    </cfRule>
    <cfRule type="expression" dxfId="5" priority="9" stopIfTrue="1">
      <formula>AND(NOT(MONTH(B$10)=2),OR(WEEKDAY(B$10)=1,WEEKDAY(B$10)=7))</formula>
    </cfRule>
    <cfRule type="expression" dxfId="6" priority="10" stopIfTrue="1">
      <formula>NOT(MONTH(B$10)=2)</formula>
    </cfRule>
    <cfRule type="expression" dxfId="7" priority="11" stopIfTrue="1">
      <formula>AND(ROW()&lt;=11,COUNTIFS(INDIRECT("Holidays!$C$6:$C$60"),B$10,INDIRECT("Holidays!$D$6:$D$60"),"Holiday")&gt;0)</formula>
    </cfRule>
    <cfRule type="expression" dxfId="8" priority="12" stopIfTrue="1">
      <formula>COUNTIFS(INDIRECT("Holidays!$C$6:$C$60"),B$10,INDIRECT("Holidays!$D$6:$D$60"),"Holiday")&gt;0</formula>
    </cfRule>
    <cfRule type="expression" dxfId="8" priority="13" stopIfTrue="1">
      <formula>B$10=TODAY()</formula>
    </cfRule>
    <cfRule type="expression" dxfId="9" priority="14" stopIfTrue="1">
      <formula>OR(WEEKDAY(B$10)=1,WEEKDAY(B$10)=7)</formula>
    </cfRule>
  </conditionalFormatting>
  <conditionalFormatting sqref="B15:H19">
    <cfRule type="expression" dxfId="4" priority="15" stopIfTrue="1">
      <formula>AND(ROW()=15,B$15=TODAY())</formula>
    </cfRule>
    <cfRule type="expression" dxfId="5" priority="16" stopIfTrue="1">
      <formula>AND(NOT(MONTH(B$15)=2),OR(WEEKDAY(B$15)=1,WEEKDAY(B$15)=7))</formula>
    </cfRule>
    <cfRule type="expression" dxfId="6" priority="17" stopIfTrue="1">
      <formula>NOT(MONTH(B$15)=2)</formula>
    </cfRule>
    <cfRule type="expression" dxfId="7" priority="18" stopIfTrue="1">
      <formula>AND(ROW()&lt;=16,COUNTIFS(INDIRECT("Holidays!$C$6:$C$60"),B$15,INDIRECT("Holidays!$D$6:$D$60"),"Holiday")&gt;0)</formula>
    </cfRule>
    <cfRule type="expression" dxfId="8" priority="19" stopIfTrue="1">
      <formula>COUNTIFS(INDIRECT("Holidays!$C$6:$C$60"),B$15,INDIRECT("Holidays!$D$6:$D$60"),"Holiday")&gt;0</formula>
    </cfRule>
    <cfRule type="expression" dxfId="8" priority="20" stopIfTrue="1">
      <formula>B$15=TODAY()</formula>
    </cfRule>
    <cfRule type="expression" dxfId="9" priority="21" stopIfTrue="1">
      <formula>OR(WEEKDAY(B$15)=1,WEEKDAY(B$15)=7)</formula>
    </cfRule>
  </conditionalFormatting>
  <conditionalFormatting sqref="B20:H24">
    <cfRule type="expression" dxfId="4" priority="22" stopIfTrue="1">
      <formula>AND(ROW()=20,B$20=TODAY())</formula>
    </cfRule>
    <cfRule type="expression" dxfId="5" priority="23" stopIfTrue="1">
      <formula>AND(NOT(MONTH(B$20)=2),OR(WEEKDAY(B$20)=1,WEEKDAY(B$20)=7))</formula>
    </cfRule>
    <cfRule type="expression" dxfId="6" priority="24" stopIfTrue="1">
      <formula>NOT(MONTH(B$20)=2)</formula>
    </cfRule>
    <cfRule type="expression" dxfId="7" priority="25" stopIfTrue="1">
      <formula>AND(ROW()&lt;=21,COUNTIFS(INDIRECT("Holidays!$C$6:$C$60"),B$20,INDIRECT("Holidays!$D$6:$D$60"),"Holiday")&gt;0)</formula>
    </cfRule>
    <cfRule type="expression" dxfId="8" priority="26" stopIfTrue="1">
      <formula>COUNTIFS(INDIRECT("Holidays!$C$6:$C$60"),B$20,INDIRECT("Holidays!$D$6:$D$60"),"Holiday")&gt;0</formula>
    </cfRule>
    <cfRule type="expression" dxfId="8" priority="27" stopIfTrue="1">
      <formula>B$20=TODAY()</formula>
    </cfRule>
    <cfRule type="expression" dxfId="9" priority="28" stopIfTrue="1">
      <formula>OR(WEEKDAY(B$20)=1,WEEKDAY(B$20)=7)</formula>
    </cfRule>
  </conditionalFormatting>
  <conditionalFormatting sqref="B25:H29">
    <cfRule type="expression" dxfId="4" priority="29" stopIfTrue="1">
      <formula>AND(ROW()=25,B$25=TODAY())</formula>
    </cfRule>
    <cfRule type="expression" dxfId="5" priority="30" stopIfTrue="1">
      <formula>AND(NOT(MONTH(B$25)=2),OR(WEEKDAY(B$25)=1,WEEKDAY(B$25)=7))</formula>
    </cfRule>
    <cfRule type="expression" dxfId="6" priority="31" stopIfTrue="1">
      <formula>NOT(MONTH(B$25)=2)</formula>
    </cfRule>
    <cfRule type="expression" dxfId="7" priority="32" stopIfTrue="1">
      <formula>AND(ROW()&lt;=26,COUNTIFS(INDIRECT("Holidays!$C$6:$C$60"),B$25,INDIRECT("Holidays!$D$6:$D$60"),"Holiday")&gt;0)</formula>
    </cfRule>
    <cfRule type="expression" dxfId="8" priority="33" stopIfTrue="1">
      <formula>COUNTIFS(INDIRECT("Holidays!$C$6:$C$60"),B$25,INDIRECT("Holidays!$D$6:$D$60"),"Holiday")&gt;0</formula>
    </cfRule>
    <cfRule type="expression" dxfId="8" priority="34" stopIfTrue="1">
      <formula>B$25=TODAY()</formula>
    </cfRule>
    <cfRule type="expression" dxfId="9" priority="35" stopIfTrue="1">
      <formula>OR(WEEKDAY(B$25)=1,WEEKDAY(B$25)=7)</formula>
    </cfRule>
  </conditionalFormatting>
  <conditionalFormatting sqref="B30:H34">
    <cfRule type="expression" dxfId="4" priority="36" stopIfTrue="1">
      <formula>AND(ROW()=30,B$30=TODAY())</formula>
    </cfRule>
    <cfRule type="expression" dxfId="5" priority="37" stopIfTrue="1">
      <formula>AND(NOT(MONTH(B$30)=2),OR(WEEKDAY(B$30)=1,WEEKDAY(B$30)=7))</formula>
    </cfRule>
    <cfRule type="expression" dxfId="6" priority="38" stopIfTrue="1">
      <formula>NOT(MONTH(B$30)=2)</formula>
    </cfRule>
    <cfRule type="expression" dxfId="7" priority="39" stopIfTrue="1">
      <formula>AND(ROW()&lt;=31,COUNTIFS(INDIRECT("Holidays!$C$6:$C$60"),B$30,INDIRECT("Holidays!$D$6:$D$60"),"Holiday")&gt;0)</formula>
    </cfRule>
    <cfRule type="expression" dxfId="8" priority="40" stopIfTrue="1">
      <formula>COUNTIFS(INDIRECT("Holidays!$C$6:$C$60"),B$30,INDIRECT("Holidays!$D$6:$D$60"),"Holiday")&gt;0</formula>
    </cfRule>
    <cfRule type="expression" dxfId="8" priority="41" stopIfTrue="1">
      <formula>B$30=TODAY()</formula>
    </cfRule>
    <cfRule type="expression" dxfId="9" priority="42" stopIfTrue="1">
      <formula>OR(WEEKDAY(B$30)=1,WEEKDAY(B$30)=7)</formula>
    </cfRule>
  </conditionalFormatting>
  <conditionalFormatting sqref="B5:H9">
    <cfRule type="expression" dxfId="4" priority="1" stopIfTrue="1">
      <formula>AND(ROW()=5,B$5=TODAY())</formula>
    </cfRule>
    <cfRule type="expression" dxfId="5" priority="2" stopIfTrue="1">
      <formula>AND(NOT(MONTH(B$5)=2),OR(WEEKDAY(B$5)=1,WEEKDAY(B$5)=7))</formula>
    </cfRule>
    <cfRule type="expression" dxfId="6" priority="3" stopIfTrue="1">
      <formula>NOT(MONTH(B$5)=2)</formula>
    </cfRule>
    <cfRule type="expression" dxfId="7" priority="4" stopIfTrue="1">
      <formula>AND(ROW()&lt;=6,COUNTIFS(INDIRECT("Holidays!$C$6:$C$60"),B$5,INDIRECT("Holidays!$D$6:$D$60"),"Holiday")&gt;0)</formula>
    </cfRule>
    <cfRule type="expression" dxfId="8" priority="5" stopIfTrue="1">
      <formula>COUNTIFS(INDIRECT("Holidays!$C$6:$C$60"),B$5,INDIRECT("Holidays!$D$6:$D$60"),"Holiday")&gt;0</formula>
    </cfRule>
    <cfRule type="expression" dxfId="8" priority="6" stopIfTrue="1">
      <formula>B$5=TODAY()</formula>
    </cfRule>
    <cfRule type="expression" dxfId="9" priority="7" stopIfTrue="1">
      <formula>OR(WEEKDAY(B$5)=1,WEEKDAY(B$5)=7)</formula>
    </cfRule>
  </conditionalFormatting>
  <printOptions horizontalCentered="1"/>
  <pageMargins left="0.4" right="0.4" top="0.4" bottom="0.4" header="0.3" footer="0.3"/>
  <pageSetup orientation="landscape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8" width="17.7109375" customWidth="1"/>
    <col min="9" max="9" width="2.28515625" customWidth="1"/>
    <col min="10" max="10" width="24.7109375" customWidth="1"/>
    <col min="11" max="11" width="2.28515625" customWidth="1"/>
  </cols>
  <sheetData>
    <row r="1" spans="2:10" ht="8" customHeight="1"/>
    <row r="2" spans="2:10" ht="46" customHeight="1">
      <c r="B2" s="38" t="s">
        <v>6</v>
      </c>
      <c r="C2" s="38"/>
      <c r="D2" s="38"/>
      <c r="E2" s="38"/>
      <c r="F2" s="38"/>
      <c r="G2" s="39">
        <f>CalYear</f>
        <v>0</v>
      </c>
      <c r="H2" s="39"/>
    </row>
    <row r="3" spans="2:10" ht="18" customHeight="1">
      <c r="B3" s="17" t="s">
        <v>17</v>
      </c>
      <c r="C3" s="17"/>
      <c r="D3" s="17"/>
      <c r="E3" s="17"/>
      <c r="F3" s="17"/>
      <c r="G3" s="17"/>
      <c r="H3" s="17"/>
    </row>
    <row r="4" spans="2:10" ht="22" customHeight="1">
      <c r="B4" s="40">
        <f>IF(WeekStart="Monday",CHOOSE(1,"MON","TUE","WED","THU","FRI","SAT","SUN"),CHOOSE(1,"SUN","MON","TUE","WED","THU","FRI","SAT"))</f>
        <v>0</v>
      </c>
      <c r="C4" s="40">
        <f>IF(WeekStart="Monday",CHOOSE(2,"MON","TUE","WED","THU","FRI","SAT","SUN"),CHOOSE(2,"SUN","MON","TUE","WED","THU","FRI","SAT"))</f>
        <v>0</v>
      </c>
      <c r="D4" s="40">
        <f>IF(WeekStart="Monday",CHOOSE(3,"MON","TUE","WED","THU","FRI","SAT","SUN"),CHOOSE(3,"SUN","MON","TUE","WED","THU","FRI","SAT"))</f>
        <v>0</v>
      </c>
      <c r="E4" s="40">
        <f>IF(WeekStart="Monday",CHOOSE(4,"MON","TUE","WED","THU","FRI","SAT","SUN"),CHOOSE(4,"SUN","MON","TUE","WED","THU","FRI","SAT"))</f>
        <v>0</v>
      </c>
      <c r="F4" s="40">
        <f>IF(WeekStart="Monday",CHOOSE(5,"MON","TUE","WED","THU","FRI","SAT","SUN"),CHOOSE(5,"SUN","MON","TUE","WED","THU","FRI","SAT"))</f>
        <v>0</v>
      </c>
      <c r="G4" s="40">
        <f>IF(WeekStart="Monday",CHOOSE(6,"MON","TUE","WED","THU","FRI","SAT","SUN"),CHOOSE(6,"SUN","MON","TUE","WED","THU","FRI","SAT"))</f>
        <v>0</v>
      </c>
      <c r="H4" s="40">
        <f>IF(WeekStart="Monday",CHOOSE(7,"MON","TUE","WED","THU","FRI","SAT","SUN"),CHOOSE(7,"SUN","MON","TUE","WED","THU","FRI","SAT"))</f>
        <v>0</v>
      </c>
      <c r="J4" s="41" t="s">
        <v>18</v>
      </c>
    </row>
    <row r="5" spans="2:10" ht="21" customHeight="1">
      <c r="B5" s="20">
        <f>DATE(CalYear,3,1)-WEEKDAY(DATE(CalYear,3,1),IF(WeekStart="Monday",2,1))+1</f>
        <v>0</v>
      </c>
      <c r="C5" s="20">
        <f>B5+1</f>
        <v>0</v>
      </c>
      <c r="D5" s="20">
        <f>C5+1</f>
        <v>0</v>
      </c>
      <c r="E5" s="20">
        <f>D5+1</f>
        <v>0</v>
      </c>
      <c r="F5" s="20">
        <f>E5+1</f>
        <v>0</v>
      </c>
      <c r="G5" s="20">
        <f>F5+1</f>
        <v>0</v>
      </c>
      <c r="H5" s="21">
        <f>G5+1</f>
        <v>0</v>
      </c>
      <c r="J5" s="22">
        <f>"WEEK "&amp;TEXT(_xlfn.ISOWEEKNUM(B5+3),"00")</f>
        <v>0</v>
      </c>
    </row>
    <row r="6" spans="2:10" ht="12" customHeight="1">
      <c r="B6" s="23">
        <f>IFERROR(INDEX(Holidays!$B$6:$B$60,MATCH(B5,Holidays!$C$6:$C$60,0)),"")</f>
        <v>0</v>
      </c>
      <c r="C6" s="23">
        <f>IFERROR(INDEX(Holidays!$B$6:$B$60,MATCH(C5,Holidays!$C$6:$C$60,0)),"")</f>
        <v>0</v>
      </c>
      <c r="D6" s="23">
        <f>IFERROR(INDEX(Holidays!$B$6:$B$60,MATCH(D5,Holidays!$C$6:$C$60,0)),"")</f>
        <v>0</v>
      </c>
      <c r="E6" s="23">
        <f>IFERROR(INDEX(Holidays!$B$6:$B$60,MATCH(E5,Holidays!$C$6:$C$60,0)),"")</f>
        <v>0</v>
      </c>
      <c r="F6" s="23">
        <f>IFERROR(INDEX(Holidays!$B$6:$B$60,MATCH(F5,Holidays!$C$6:$C$60,0)),"")</f>
        <v>0</v>
      </c>
      <c r="G6" s="23">
        <f>IFERROR(INDEX(Holidays!$B$6:$B$60,MATCH(G5,Holidays!$C$6:$C$60,0)),"")</f>
        <v>0</v>
      </c>
      <c r="H6" s="24">
        <f>IFERROR(INDEX(Holidays!$B$6:$B$60,MATCH(H5,Holidays!$C$6:$C$60,0)),"")</f>
        <v>0</v>
      </c>
      <c r="J6" s="25"/>
    </row>
    <row r="7" spans="2:10" ht="18" customHeight="1">
      <c r="B7" s="26"/>
      <c r="C7" s="26"/>
      <c r="D7" s="26"/>
      <c r="E7" s="26"/>
      <c r="F7" s="26"/>
      <c r="G7" s="26"/>
      <c r="H7" s="27"/>
      <c r="J7" s="25"/>
    </row>
    <row r="8" spans="2:10" ht="18" customHeight="1">
      <c r="B8" s="26"/>
      <c r="C8" s="26"/>
      <c r="D8" s="26"/>
      <c r="E8" s="26"/>
      <c r="F8" s="26"/>
      <c r="G8" s="26"/>
      <c r="H8" s="27"/>
      <c r="J8" s="25"/>
    </row>
    <row r="9" spans="2:10" ht="18" customHeight="1">
      <c r="B9" s="28"/>
      <c r="C9" s="28"/>
      <c r="D9" s="28"/>
      <c r="E9" s="28"/>
      <c r="F9" s="28"/>
      <c r="G9" s="28"/>
      <c r="H9" s="29"/>
      <c r="J9" s="25"/>
    </row>
    <row r="10" spans="2:10" ht="21" customHeight="1">
      <c r="B10" s="20">
        <f>H5+1</f>
        <v>0</v>
      </c>
      <c r="C10" s="20">
        <f>B10+1</f>
        <v>0</v>
      </c>
      <c r="D10" s="20">
        <f>C10+1</f>
        <v>0</v>
      </c>
      <c r="E10" s="20">
        <f>D10+1</f>
        <v>0</v>
      </c>
      <c r="F10" s="20">
        <f>E10+1</f>
        <v>0</v>
      </c>
      <c r="G10" s="20">
        <f>F10+1</f>
        <v>0</v>
      </c>
      <c r="H10" s="21">
        <f>G10+1</f>
        <v>0</v>
      </c>
      <c r="J10" s="22">
        <f>"WEEK "&amp;TEXT(_xlfn.ISOWEEKNUM(B10+3),"00")</f>
        <v>0</v>
      </c>
    </row>
    <row r="11" spans="2:10" ht="12" customHeight="1">
      <c r="B11" s="23">
        <f>IFERROR(INDEX(Holidays!$B$6:$B$60,MATCH(B10,Holidays!$C$6:$C$60,0)),"")</f>
        <v>0</v>
      </c>
      <c r="C11" s="23">
        <f>IFERROR(INDEX(Holidays!$B$6:$B$60,MATCH(C10,Holidays!$C$6:$C$60,0)),"")</f>
        <v>0</v>
      </c>
      <c r="D11" s="23">
        <f>IFERROR(INDEX(Holidays!$B$6:$B$60,MATCH(D10,Holidays!$C$6:$C$60,0)),"")</f>
        <v>0</v>
      </c>
      <c r="E11" s="23">
        <f>IFERROR(INDEX(Holidays!$B$6:$B$60,MATCH(E10,Holidays!$C$6:$C$60,0)),"")</f>
        <v>0</v>
      </c>
      <c r="F11" s="23">
        <f>IFERROR(INDEX(Holidays!$B$6:$B$60,MATCH(F10,Holidays!$C$6:$C$60,0)),"")</f>
        <v>0</v>
      </c>
      <c r="G11" s="23">
        <f>IFERROR(INDEX(Holidays!$B$6:$B$60,MATCH(G10,Holidays!$C$6:$C$60,0)),"")</f>
        <v>0</v>
      </c>
      <c r="H11" s="24">
        <f>IFERROR(INDEX(Holidays!$B$6:$B$60,MATCH(H10,Holidays!$C$6:$C$60,0)),"")</f>
        <v>0</v>
      </c>
      <c r="J11" s="25"/>
    </row>
    <row r="12" spans="2:10" ht="18" customHeight="1">
      <c r="B12" s="26"/>
      <c r="C12" s="26"/>
      <c r="D12" s="26"/>
      <c r="E12" s="26"/>
      <c r="F12" s="26"/>
      <c r="G12" s="26"/>
      <c r="H12" s="27"/>
      <c r="J12" s="25"/>
    </row>
    <row r="13" spans="2:10" ht="18" customHeight="1">
      <c r="B13" s="26"/>
      <c r="C13" s="26"/>
      <c r="D13" s="26"/>
      <c r="E13" s="26"/>
      <c r="F13" s="26"/>
      <c r="G13" s="26"/>
      <c r="H13" s="27"/>
      <c r="J13" s="25"/>
    </row>
    <row r="14" spans="2:10" ht="18" customHeight="1">
      <c r="B14" s="28"/>
      <c r="C14" s="28"/>
      <c r="D14" s="28"/>
      <c r="E14" s="28"/>
      <c r="F14" s="28"/>
      <c r="G14" s="28"/>
      <c r="H14" s="29"/>
      <c r="J14" s="25"/>
    </row>
    <row r="15" spans="2:10" ht="21" customHeight="1">
      <c r="B15" s="20">
        <f>H10+1</f>
        <v>0</v>
      </c>
      <c r="C15" s="20">
        <f>B15+1</f>
        <v>0</v>
      </c>
      <c r="D15" s="20">
        <f>C15+1</f>
        <v>0</v>
      </c>
      <c r="E15" s="20">
        <f>D15+1</f>
        <v>0</v>
      </c>
      <c r="F15" s="20">
        <f>E15+1</f>
        <v>0</v>
      </c>
      <c r="G15" s="20">
        <f>F15+1</f>
        <v>0</v>
      </c>
      <c r="H15" s="21">
        <f>G15+1</f>
        <v>0</v>
      </c>
      <c r="J15" s="22">
        <f>"WEEK "&amp;TEXT(_xlfn.ISOWEEKNUM(B15+3),"00")</f>
        <v>0</v>
      </c>
    </row>
    <row r="16" spans="2:10" ht="12" customHeight="1">
      <c r="B16" s="23">
        <f>IFERROR(INDEX(Holidays!$B$6:$B$60,MATCH(B15,Holidays!$C$6:$C$60,0)),"")</f>
        <v>0</v>
      </c>
      <c r="C16" s="23">
        <f>IFERROR(INDEX(Holidays!$B$6:$B$60,MATCH(C15,Holidays!$C$6:$C$60,0)),"")</f>
        <v>0</v>
      </c>
      <c r="D16" s="23">
        <f>IFERROR(INDEX(Holidays!$B$6:$B$60,MATCH(D15,Holidays!$C$6:$C$60,0)),"")</f>
        <v>0</v>
      </c>
      <c r="E16" s="23">
        <f>IFERROR(INDEX(Holidays!$B$6:$B$60,MATCH(E15,Holidays!$C$6:$C$60,0)),"")</f>
        <v>0</v>
      </c>
      <c r="F16" s="23">
        <f>IFERROR(INDEX(Holidays!$B$6:$B$60,MATCH(F15,Holidays!$C$6:$C$60,0)),"")</f>
        <v>0</v>
      </c>
      <c r="G16" s="23">
        <f>IFERROR(INDEX(Holidays!$B$6:$B$60,MATCH(G15,Holidays!$C$6:$C$60,0)),"")</f>
        <v>0</v>
      </c>
      <c r="H16" s="24">
        <f>IFERROR(INDEX(Holidays!$B$6:$B$60,MATCH(H15,Holidays!$C$6:$C$60,0)),"")</f>
        <v>0</v>
      </c>
      <c r="J16" s="25"/>
    </row>
    <row r="17" spans="2:10" ht="18" customHeight="1">
      <c r="B17" s="26"/>
      <c r="C17" s="26"/>
      <c r="D17" s="26"/>
      <c r="E17" s="26"/>
      <c r="F17" s="26"/>
      <c r="G17" s="26"/>
      <c r="H17" s="27"/>
      <c r="J17" s="25"/>
    </row>
    <row r="18" spans="2:10" ht="18" customHeight="1">
      <c r="B18" s="26"/>
      <c r="C18" s="26"/>
      <c r="D18" s="26"/>
      <c r="E18" s="26"/>
      <c r="F18" s="26"/>
      <c r="G18" s="26"/>
      <c r="H18" s="27"/>
      <c r="J18" s="25"/>
    </row>
    <row r="19" spans="2:10" ht="18" customHeight="1">
      <c r="B19" s="28"/>
      <c r="C19" s="28"/>
      <c r="D19" s="28"/>
      <c r="E19" s="28"/>
      <c r="F19" s="28"/>
      <c r="G19" s="28"/>
      <c r="H19" s="29"/>
      <c r="J19" s="25"/>
    </row>
    <row r="20" spans="2:10" ht="21" customHeight="1">
      <c r="B20" s="20">
        <f>H15+1</f>
        <v>0</v>
      </c>
      <c r="C20" s="20">
        <f>B20+1</f>
        <v>0</v>
      </c>
      <c r="D20" s="20">
        <f>C20+1</f>
        <v>0</v>
      </c>
      <c r="E20" s="20">
        <f>D20+1</f>
        <v>0</v>
      </c>
      <c r="F20" s="20">
        <f>E20+1</f>
        <v>0</v>
      </c>
      <c r="G20" s="20">
        <f>F20+1</f>
        <v>0</v>
      </c>
      <c r="H20" s="21">
        <f>G20+1</f>
        <v>0</v>
      </c>
      <c r="J20" s="22">
        <f>"WEEK "&amp;TEXT(_xlfn.ISOWEEKNUM(B20+3),"00")</f>
        <v>0</v>
      </c>
    </row>
    <row r="21" spans="2:10" ht="12" customHeight="1">
      <c r="B21" s="23">
        <f>IFERROR(INDEX(Holidays!$B$6:$B$60,MATCH(B20,Holidays!$C$6:$C$60,0)),"")</f>
        <v>0</v>
      </c>
      <c r="C21" s="23">
        <f>IFERROR(INDEX(Holidays!$B$6:$B$60,MATCH(C20,Holidays!$C$6:$C$60,0)),"")</f>
        <v>0</v>
      </c>
      <c r="D21" s="23">
        <f>IFERROR(INDEX(Holidays!$B$6:$B$60,MATCH(D20,Holidays!$C$6:$C$60,0)),"")</f>
        <v>0</v>
      </c>
      <c r="E21" s="23">
        <f>IFERROR(INDEX(Holidays!$B$6:$B$60,MATCH(E20,Holidays!$C$6:$C$60,0)),"")</f>
        <v>0</v>
      </c>
      <c r="F21" s="23">
        <f>IFERROR(INDEX(Holidays!$B$6:$B$60,MATCH(F20,Holidays!$C$6:$C$60,0)),"")</f>
        <v>0</v>
      </c>
      <c r="G21" s="23">
        <f>IFERROR(INDEX(Holidays!$B$6:$B$60,MATCH(G20,Holidays!$C$6:$C$60,0)),"")</f>
        <v>0</v>
      </c>
      <c r="H21" s="24">
        <f>IFERROR(INDEX(Holidays!$B$6:$B$60,MATCH(H20,Holidays!$C$6:$C$60,0)),"")</f>
        <v>0</v>
      </c>
      <c r="J21" s="25"/>
    </row>
    <row r="22" spans="2:10" ht="18" customHeight="1">
      <c r="B22" s="26"/>
      <c r="C22" s="26"/>
      <c r="D22" s="26"/>
      <c r="E22" s="26"/>
      <c r="F22" s="26"/>
      <c r="G22" s="26"/>
      <c r="H22" s="27"/>
      <c r="J22" s="25"/>
    </row>
    <row r="23" spans="2:10" ht="18" customHeight="1">
      <c r="B23" s="26"/>
      <c r="C23" s="26"/>
      <c r="D23" s="26"/>
      <c r="E23" s="26"/>
      <c r="F23" s="26"/>
      <c r="G23" s="26"/>
      <c r="H23" s="27"/>
      <c r="J23" s="25"/>
    </row>
    <row r="24" spans="2:10" ht="18" customHeight="1">
      <c r="B24" s="28"/>
      <c r="C24" s="28"/>
      <c r="D24" s="28"/>
      <c r="E24" s="28"/>
      <c r="F24" s="28"/>
      <c r="G24" s="28"/>
      <c r="H24" s="29"/>
      <c r="J24" s="25"/>
    </row>
    <row r="25" spans="2:10" ht="21" customHeight="1">
      <c r="B25" s="20">
        <f>H20+1</f>
        <v>0</v>
      </c>
      <c r="C25" s="20">
        <f>B25+1</f>
        <v>0</v>
      </c>
      <c r="D25" s="20">
        <f>C25+1</f>
        <v>0</v>
      </c>
      <c r="E25" s="20">
        <f>D25+1</f>
        <v>0</v>
      </c>
      <c r="F25" s="20">
        <f>E25+1</f>
        <v>0</v>
      </c>
      <c r="G25" s="20">
        <f>F25+1</f>
        <v>0</v>
      </c>
      <c r="H25" s="21">
        <f>G25+1</f>
        <v>0</v>
      </c>
      <c r="J25" s="22">
        <f>"WEEK "&amp;TEXT(_xlfn.ISOWEEKNUM(B25+3),"00")</f>
        <v>0</v>
      </c>
    </row>
    <row r="26" spans="2:10" ht="12" customHeight="1">
      <c r="B26" s="23">
        <f>IFERROR(INDEX(Holidays!$B$6:$B$60,MATCH(B25,Holidays!$C$6:$C$60,0)),"")</f>
        <v>0</v>
      </c>
      <c r="C26" s="23">
        <f>IFERROR(INDEX(Holidays!$B$6:$B$60,MATCH(C25,Holidays!$C$6:$C$60,0)),"")</f>
        <v>0</v>
      </c>
      <c r="D26" s="23">
        <f>IFERROR(INDEX(Holidays!$B$6:$B$60,MATCH(D25,Holidays!$C$6:$C$60,0)),"")</f>
        <v>0</v>
      </c>
      <c r="E26" s="23">
        <f>IFERROR(INDEX(Holidays!$B$6:$B$60,MATCH(E25,Holidays!$C$6:$C$60,0)),"")</f>
        <v>0</v>
      </c>
      <c r="F26" s="23">
        <f>IFERROR(INDEX(Holidays!$B$6:$B$60,MATCH(F25,Holidays!$C$6:$C$60,0)),"")</f>
        <v>0</v>
      </c>
      <c r="G26" s="23">
        <f>IFERROR(INDEX(Holidays!$B$6:$B$60,MATCH(G25,Holidays!$C$6:$C$60,0)),"")</f>
        <v>0</v>
      </c>
      <c r="H26" s="24">
        <f>IFERROR(INDEX(Holidays!$B$6:$B$60,MATCH(H25,Holidays!$C$6:$C$60,0)),"")</f>
        <v>0</v>
      </c>
      <c r="J26" s="25"/>
    </row>
    <row r="27" spans="2:10" ht="18" customHeight="1">
      <c r="B27" s="26"/>
      <c r="C27" s="26"/>
      <c r="D27" s="26"/>
      <c r="E27" s="26"/>
      <c r="F27" s="26"/>
      <c r="G27" s="26"/>
      <c r="H27" s="27"/>
      <c r="J27" s="25"/>
    </row>
    <row r="28" spans="2:10" ht="18" customHeight="1">
      <c r="B28" s="26"/>
      <c r="C28" s="26"/>
      <c r="D28" s="26"/>
      <c r="E28" s="26"/>
      <c r="F28" s="26"/>
      <c r="G28" s="26"/>
      <c r="H28" s="27"/>
      <c r="J28" s="25"/>
    </row>
    <row r="29" spans="2:10" ht="18" customHeight="1">
      <c r="B29" s="28"/>
      <c r="C29" s="28"/>
      <c r="D29" s="28"/>
      <c r="E29" s="28"/>
      <c r="F29" s="28"/>
      <c r="G29" s="28"/>
      <c r="H29" s="29"/>
      <c r="J29" s="25"/>
    </row>
    <row r="30" spans="2:10" ht="21" customHeight="1">
      <c r="B30" s="20">
        <f>H25+1</f>
        <v>0</v>
      </c>
      <c r="C30" s="20">
        <f>B30+1</f>
        <v>0</v>
      </c>
      <c r="D30" s="20">
        <f>C30+1</f>
        <v>0</v>
      </c>
      <c r="E30" s="20">
        <f>D30+1</f>
        <v>0</v>
      </c>
      <c r="F30" s="20">
        <f>E30+1</f>
        <v>0</v>
      </c>
      <c r="G30" s="20">
        <f>F30+1</f>
        <v>0</v>
      </c>
      <c r="H30" s="21">
        <f>G30+1</f>
        <v>0</v>
      </c>
      <c r="J30" s="22">
        <f>"WEEK "&amp;TEXT(_xlfn.ISOWEEKNUM(B30+3),"00")</f>
        <v>0</v>
      </c>
    </row>
    <row r="31" spans="2:10" ht="12" customHeight="1">
      <c r="B31" s="23">
        <f>IFERROR(INDEX(Holidays!$B$6:$B$60,MATCH(B30,Holidays!$C$6:$C$60,0)),"")</f>
        <v>0</v>
      </c>
      <c r="C31" s="23">
        <f>IFERROR(INDEX(Holidays!$B$6:$B$60,MATCH(C30,Holidays!$C$6:$C$60,0)),"")</f>
        <v>0</v>
      </c>
      <c r="D31" s="23">
        <f>IFERROR(INDEX(Holidays!$B$6:$B$60,MATCH(D30,Holidays!$C$6:$C$60,0)),"")</f>
        <v>0</v>
      </c>
      <c r="E31" s="23">
        <f>IFERROR(INDEX(Holidays!$B$6:$B$60,MATCH(E30,Holidays!$C$6:$C$60,0)),"")</f>
        <v>0</v>
      </c>
      <c r="F31" s="23">
        <f>IFERROR(INDEX(Holidays!$B$6:$B$60,MATCH(F30,Holidays!$C$6:$C$60,0)),"")</f>
        <v>0</v>
      </c>
      <c r="G31" s="23">
        <f>IFERROR(INDEX(Holidays!$B$6:$B$60,MATCH(G30,Holidays!$C$6:$C$60,0)),"")</f>
        <v>0</v>
      </c>
      <c r="H31" s="24">
        <f>IFERROR(INDEX(Holidays!$B$6:$B$60,MATCH(H30,Holidays!$C$6:$C$60,0)),"")</f>
        <v>0</v>
      </c>
      <c r="J31" s="30"/>
    </row>
    <row r="32" spans="2:10" ht="18" customHeight="1">
      <c r="B32" s="26"/>
      <c r="C32" s="26"/>
      <c r="D32" s="26"/>
      <c r="E32" s="26"/>
      <c r="F32" s="26"/>
      <c r="G32" s="26"/>
      <c r="H32" s="27"/>
      <c r="J32" s="30"/>
    </row>
    <row r="33" spans="2:10" ht="18" customHeight="1">
      <c r="B33" s="26"/>
      <c r="C33" s="26"/>
      <c r="D33" s="26"/>
      <c r="E33" s="26"/>
      <c r="F33" s="26"/>
      <c r="G33" s="26"/>
      <c r="H33" s="27"/>
      <c r="J33" s="30"/>
    </row>
    <row r="34" spans="2:10" ht="18" customHeight="1">
      <c r="B34" s="31"/>
      <c r="C34" s="31"/>
      <c r="D34" s="31"/>
      <c r="E34" s="31"/>
      <c r="F34" s="31"/>
      <c r="G34" s="31"/>
      <c r="H34" s="32"/>
      <c r="J34" s="30"/>
    </row>
    <row r="35" spans="2:10" ht="16" customHeight="1">
      <c r="B35" s="33" t="s">
        <v>19</v>
      </c>
      <c r="C35" s="33"/>
      <c r="D35" s="33"/>
      <c r="E35" s="33"/>
      <c r="F35" s="33"/>
      <c r="G35" s="33"/>
      <c r="H35" s="33"/>
      <c r="I35" s="33"/>
      <c r="J35" s="33"/>
    </row>
  </sheetData>
  <mergeCells count="10">
    <mergeCell ref="B2:F2"/>
    <mergeCell ref="G2:H2"/>
    <mergeCell ref="B3:H3"/>
    <mergeCell ref="J6:J9"/>
    <mergeCell ref="J11:J14"/>
    <mergeCell ref="J16:J19"/>
    <mergeCell ref="J21:J24"/>
    <mergeCell ref="J26:J29"/>
    <mergeCell ref="J31:J34"/>
    <mergeCell ref="B35:J35"/>
  </mergeCells>
  <conditionalFormatting sqref="B10:H14">
    <cfRule type="expression" dxfId="4" priority="8" stopIfTrue="1">
      <formula>AND(ROW()=10,B$10=TODAY())</formula>
    </cfRule>
    <cfRule type="expression" dxfId="5" priority="9" stopIfTrue="1">
      <formula>AND(NOT(MONTH(B$10)=3),OR(WEEKDAY(B$10)=1,WEEKDAY(B$10)=7))</formula>
    </cfRule>
    <cfRule type="expression" dxfId="6" priority="10" stopIfTrue="1">
      <formula>NOT(MONTH(B$10)=3)</formula>
    </cfRule>
    <cfRule type="expression" dxfId="7" priority="11" stopIfTrue="1">
      <formula>AND(ROW()&lt;=11,COUNTIFS(INDIRECT("Holidays!$C$6:$C$60"),B$10,INDIRECT("Holidays!$D$6:$D$60"),"Holiday")&gt;0)</formula>
    </cfRule>
    <cfRule type="expression" dxfId="8" priority="12" stopIfTrue="1">
      <formula>COUNTIFS(INDIRECT("Holidays!$C$6:$C$60"),B$10,INDIRECT("Holidays!$D$6:$D$60"),"Holiday")&gt;0</formula>
    </cfRule>
    <cfRule type="expression" dxfId="8" priority="13" stopIfTrue="1">
      <formula>B$10=TODAY()</formula>
    </cfRule>
    <cfRule type="expression" dxfId="9" priority="14" stopIfTrue="1">
      <formula>OR(WEEKDAY(B$10)=1,WEEKDAY(B$10)=7)</formula>
    </cfRule>
  </conditionalFormatting>
  <conditionalFormatting sqref="B15:H19">
    <cfRule type="expression" dxfId="4" priority="15" stopIfTrue="1">
      <formula>AND(ROW()=15,B$15=TODAY())</formula>
    </cfRule>
    <cfRule type="expression" dxfId="5" priority="16" stopIfTrue="1">
      <formula>AND(NOT(MONTH(B$15)=3),OR(WEEKDAY(B$15)=1,WEEKDAY(B$15)=7))</formula>
    </cfRule>
    <cfRule type="expression" dxfId="6" priority="17" stopIfTrue="1">
      <formula>NOT(MONTH(B$15)=3)</formula>
    </cfRule>
    <cfRule type="expression" dxfId="7" priority="18" stopIfTrue="1">
      <formula>AND(ROW()&lt;=16,COUNTIFS(INDIRECT("Holidays!$C$6:$C$60"),B$15,INDIRECT("Holidays!$D$6:$D$60"),"Holiday")&gt;0)</formula>
    </cfRule>
    <cfRule type="expression" dxfId="8" priority="19" stopIfTrue="1">
      <formula>COUNTIFS(INDIRECT("Holidays!$C$6:$C$60"),B$15,INDIRECT("Holidays!$D$6:$D$60"),"Holiday")&gt;0</formula>
    </cfRule>
    <cfRule type="expression" dxfId="8" priority="20" stopIfTrue="1">
      <formula>B$15=TODAY()</formula>
    </cfRule>
    <cfRule type="expression" dxfId="9" priority="21" stopIfTrue="1">
      <formula>OR(WEEKDAY(B$15)=1,WEEKDAY(B$15)=7)</formula>
    </cfRule>
  </conditionalFormatting>
  <conditionalFormatting sqref="B20:H24">
    <cfRule type="expression" dxfId="4" priority="22" stopIfTrue="1">
      <formula>AND(ROW()=20,B$20=TODAY())</formula>
    </cfRule>
    <cfRule type="expression" dxfId="5" priority="23" stopIfTrue="1">
      <formula>AND(NOT(MONTH(B$20)=3),OR(WEEKDAY(B$20)=1,WEEKDAY(B$20)=7))</formula>
    </cfRule>
    <cfRule type="expression" dxfId="6" priority="24" stopIfTrue="1">
      <formula>NOT(MONTH(B$20)=3)</formula>
    </cfRule>
    <cfRule type="expression" dxfId="7" priority="25" stopIfTrue="1">
      <formula>AND(ROW()&lt;=21,COUNTIFS(INDIRECT("Holidays!$C$6:$C$60"),B$20,INDIRECT("Holidays!$D$6:$D$60"),"Holiday")&gt;0)</formula>
    </cfRule>
    <cfRule type="expression" dxfId="8" priority="26" stopIfTrue="1">
      <formula>COUNTIFS(INDIRECT("Holidays!$C$6:$C$60"),B$20,INDIRECT("Holidays!$D$6:$D$60"),"Holiday")&gt;0</formula>
    </cfRule>
    <cfRule type="expression" dxfId="8" priority="27" stopIfTrue="1">
      <formula>B$20=TODAY()</formula>
    </cfRule>
    <cfRule type="expression" dxfId="9" priority="28" stopIfTrue="1">
      <formula>OR(WEEKDAY(B$20)=1,WEEKDAY(B$20)=7)</formula>
    </cfRule>
  </conditionalFormatting>
  <conditionalFormatting sqref="B25:H29">
    <cfRule type="expression" dxfId="4" priority="29" stopIfTrue="1">
      <formula>AND(ROW()=25,B$25=TODAY())</formula>
    </cfRule>
    <cfRule type="expression" dxfId="5" priority="30" stopIfTrue="1">
      <formula>AND(NOT(MONTH(B$25)=3),OR(WEEKDAY(B$25)=1,WEEKDAY(B$25)=7))</formula>
    </cfRule>
    <cfRule type="expression" dxfId="6" priority="31" stopIfTrue="1">
      <formula>NOT(MONTH(B$25)=3)</formula>
    </cfRule>
    <cfRule type="expression" dxfId="7" priority="32" stopIfTrue="1">
      <formula>AND(ROW()&lt;=26,COUNTIFS(INDIRECT("Holidays!$C$6:$C$60"),B$25,INDIRECT("Holidays!$D$6:$D$60"),"Holiday")&gt;0)</formula>
    </cfRule>
    <cfRule type="expression" dxfId="8" priority="33" stopIfTrue="1">
      <formula>COUNTIFS(INDIRECT("Holidays!$C$6:$C$60"),B$25,INDIRECT("Holidays!$D$6:$D$60"),"Holiday")&gt;0</formula>
    </cfRule>
    <cfRule type="expression" dxfId="8" priority="34" stopIfTrue="1">
      <formula>B$25=TODAY()</formula>
    </cfRule>
    <cfRule type="expression" dxfId="9" priority="35" stopIfTrue="1">
      <formula>OR(WEEKDAY(B$25)=1,WEEKDAY(B$25)=7)</formula>
    </cfRule>
  </conditionalFormatting>
  <conditionalFormatting sqref="B30:H34">
    <cfRule type="expression" dxfId="4" priority="36" stopIfTrue="1">
      <formula>AND(ROW()=30,B$30=TODAY())</formula>
    </cfRule>
    <cfRule type="expression" dxfId="5" priority="37" stopIfTrue="1">
      <formula>AND(NOT(MONTH(B$30)=3),OR(WEEKDAY(B$30)=1,WEEKDAY(B$30)=7))</formula>
    </cfRule>
    <cfRule type="expression" dxfId="6" priority="38" stopIfTrue="1">
      <formula>NOT(MONTH(B$30)=3)</formula>
    </cfRule>
    <cfRule type="expression" dxfId="7" priority="39" stopIfTrue="1">
      <formula>AND(ROW()&lt;=31,COUNTIFS(INDIRECT("Holidays!$C$6:$C$60"),B$30,INDIRECT("Holidays!$D$6:$D$60"),"Holiday")&gt;0)</formula>
    </cfRule>
    <cfRule type="expression" dxfId="8" priority="40" stopIfTrue="1">
      <formula>COUNTIFS(INDIRECT("Holidays!$C$6:$C$60"),B$30,INDIRECT("Holidays!$D$6:$D$60"),"Holiday")&gt;0</formula>
    </cfRule>
    <cfRule type="expression" dxfId="8" priority="41" stopIfTrue="1">
      <formula>B$30=TODAY()</formula>
    </cfRule>
    <cfRule type="expression" dxfId="9" priority="42" stopIfTrue="1">
      <formula>OR(WEEKDAY(B$30)=1,WEEKDAY(B$30)=7)</formula>
    </cfRule>
  </conditionalFormatting>
  <conditionalFormatting sqref="B5:H9">
    <cfRule type="expression" dxfId="4" priority="1" stopIfTrue="1">
      <formula>AND(ROW()=5,B$5=TODAY())</formula>
    </cfRule>
    <cfRule type="expression" dxfId="5" priority="2" stopIfTrue="1">
      <formula>AND(NOT(MONTH(B$5)=3),OR(WEEKDAY(B$5)=1,WEEKDAY(B$5)=7))</formula>
    </cfRule>
    <cfRule type="expression" dxfId="6" priority="3" stopIfTrue="1">
      <formula>NOT(MONTH(B$5)=3)</formula>
    </cfRule>
    <cfRule type="expression" dxfId="7" priority="4" stopIfTrue="1">
      <formula>AND(ROW()&lt;=6,COUNTIFS(INDIRECT("Holidays!$C$6:$C$60"),B$5,INDIRECT("Holidays!$D$6:$D$60"),"Holiday")&gt;0)</formula>
    </cfRule>
    <cfRule type="expression" dxfId="8" priority="5" stopIfTrue="1">
      <formula>COUNTIFS(INDIRECT("Holidays!$C$6:$C$60"),B$5,INDIRECT("Holidays!$D$6:$D$60"),"Holiday")&gt;0</formula>
    </cfRule>
    <cfRule type="expression" dxfId="8" priority="6" stopIfTrue="1">
      <formula>B$5=TODAY()</formula>
    </cfRule>
    <cfRule type="expression" dxfId="9" priority="7" stopIfTrue="1">
      <formula>OR(WEEKDAY(B$5)=1,WEEKDAY(B$5)=7)</formula>
    </cfRule>
  </conditionalFormatting>
  <printOptions horizontalCentered="1"/>
  <pageMargins left="0.4" right="0.4" top="0.4" bottom="0.4" header="0.3" footer="0.3"/>
  <pageSetup orientation="landscape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8" width="17.7109375" customWidth="1"/>
    <col min="9" max="9" width="2.28515625" customWidth="1"/>
    <col min="10" max="10" width="24.7109375" customWidth="1"/>
    <col min="11" max="11" width="2.28515625" customWidth="1"/>
  </cols>
  <sheetData>
    <row r="1" spans="2:10" ht="8" customHeight="1"/>
    <row r="2" spans="2:10" ht="46" customHeight="1">
      <c r="B2" s="42" t="s">
        <v>7</v>
      </c>
      <c r="C2" s="42"/>
      <c r="D2" s="42"/>
      <c r="E2" s="42"/>
      <c r="F2" s="42"/>
      <c r="G2" s="43">
        <f>CalYear</f>
        <v>0</v>
      </c>
      <c r="H2" s="43"/>
    </row>
    <row r="3" spans="2:10" ht="18" customHeight="1">
      <c r="B3" s="17" t="s">
        <v>17</v>
      </c>
      <c r="C3" s="17"/>
      <c r="D3" s="17"/>
      <c r="E3" s="17"/>
      <c r="F3" s="17"/>
      <c r="G3" s="17"/>
      <c r="H3" s="17"/>
    </row>
    <row r="4" spans="2:10" ht="22" customHeight="1">
      <c r="B4" s="44">
        <f>IF(WeekStart="Monday",CHOOSE(1,"MON","TUE","WED","THU","FRI","SAT","SUN"),CHOOSE(1,"SUN","MON","TUE","WED","THU","FRI","SAT"))</f>
        <v>0</v>
      </c>
      <c r="C4" s="44">
        <f>IF(WeekStart="Monday",CHOOSE(2,"MON","TUE","WED","THU","FRI","SAT","SUN"),CHOOSE(2,"SUN","MON","TUE","WED","THU","FRI","SAT"))</f>
        <v>0</v>
      </c>
      <c r="D4" s="44">
        <f>IF(WeekStart="Monday",CHOOSE(3,"MON","TUE","WED","THU","FRI","SAT","SUN"),CHOOSE(3,"SUN","MON","TUE","WED","THU","FRI","SAT"))</f>
        <v>0</v>
      </c>
      <c r="E4" s="44">
        <f>IF(WeekStart="Monday",CHOOSE(4,"MON","TUE","WED","THU","FRI","SAT","SUN"),CHOOSE(4,"SUN","MON","TUE","WED","THU","FRI","SAT"))</f>
        <v>0</v>
      </c>
      <c r="F4" s="44">
        <f>IF(WeekStart="Monday",CHOOSE(5,"MON","TUE","WED","THU","FRI","SAT","SUN"),CHOOSE(5,"SUN","MON","TUE","WED","THU","FRI","SAT"))</f>
        <v>0</v>
      </c>
      <c r="G4" s="44">
        <f>IF(WeekStart="Monday",CHOOSE(6,"MON","TUE","WED","THU","FRI","SAT","SUN"),CHOOSE(6,"SUN","MON","TUE","WED","THU","FRI","SAT"))</f>
        <v>0</v>
      </c>
      <c r="H4" s="44">
        <f>IF(WeekStart="Monday",CHOOSE(7,"MON","TUE","WED","THU","FRI","SAT","SUN"),CHOOSE(7,"SUN","MON","TUE","WED","THU","FRI","SAT"))</f>
        <v>0</v>
      </c>
      <c r="J4" s="45" t="s">
        <v>18</v>
      </c>
    </row>
    <row r="5" spans="2:10" ht="21" customHeight="1">
      <c r="B5" s="20">
        <f>DATE(CalYear,4,1)-WEEKDAY(DATE(CalYear,4,1),IF(WeekStart="Monday",2,1))+1</f>
        <v>0</v>
      </c>
      <c r="C5" s="20">
        <f>B5+1</f>
        <v>0</v>
      </c>
      <c r="D5" s="20">
        <f>C5+1</f>
        <v>0</v>
      </c>
      <c r="E5" s="20">
        <f>D5+1</f>
        <v>0</v>
      </c>
      <c r="F5" s="20">
        <f>E5+1</f>
        <v>0</v>
      </c>
      <c r="G5" s="20">
        <f>F5+1</f>
        <v>0</v>
      </c>
      <c r="H5" s="21">
        <f>G5+1</f>
        <v>0</v>
      </c>
      <c r="J5" s="22">
        <f>"WEEK "&amp;TEXT(_xlfn.ISOWEEKNUM(B5+3),"00")</f>
        <v>0</v>
      </c>
    </row>
    <row r="6" spans="2:10" ht="12" customHeight="1">
      <c r="B6" s="23">
        <f>IFERROR(INDEX(Holidays!$B$6:$B$60,MATCH(B5,Holidays!$C$6:$C$60,0)),"")</f>
        <v>0</v>
      </c>
      <c r="C6" s="23">
        <f>IFERROR(INDEX(Holidays!$B$6:$B$60,MATCH(C5,Holidays!$C$6:$C$60,0)),"")</f>
        <v>0</v>
      </c>
      <c r="D6" s="23">
        <f>IFERROR(INDEX(Holidays!$B$6:$B$60,MATCH(D5,Holidays!$C$6:$C$60,0)),"")</f>
        <v>0</v>
      </c>
      <c r="E6" s="23">
        <f>IFERROR(INDEX(Holidays!$B$6:$B$60,MATCH(E5,Holidays!$C$6:$C$60,0)),"")</f>
        <v>0</v>
      </c>
      <c r="F6" s="23">
        <f>IFERROR(INDEX(Holidays!$B$6:$B$60,MATCH(F5,Holidays!$C$6:$C$60,0)),"")</f>
        <v>0</v>
      </c>
      <c r="G6" s="23">
        <f>IFERROR(INDEX(Holidays!$B$6:$B$60,MATCH(G5,Holidays!$C$6:$C$60,0)),"")</f>
        <v>0</v>
      </c>
      <c r="H6" s="24">
        <f>IFERROR(INDEX(Holidays!$B$6:$B$60,MATCH(H5,Holidays!$C$6:$C$60,0)),"")</f>
        <v>0</v>
      </c>
      <c r="J6" s="25"/>
    </row>
    <row r="7" spans="2:10" ht="18" customHeight="1">
      <c r="B7" s="26"/>
      <c r="C7" s="26"/>
      <c r="D7" s="26"/>
      <c r="E7" s="26"/>
      <c r="F7" s="26"/>
      <c r="G7" s="26"/>
      <c r="H7" s="27"/>
      <c r="J7" s="25"/>
    </row>
    <row r="8" spans="2:10" ht="18" customHeight="1">
      <c r="B8" s="26"/>
      <c r="C8" s="26"/>
      <c r="D8" s="26"/>
      <c r="E8" s="26"/>
      <c r="F8" s="26"/>
      <c r="G8" s="26"/>
      <c r="H8" s="27"/>
      <c r="J8" s="25"/>
    </row>
    <row r="9" spans="2:10" ht="18" customHeight="1">
      <c r="B9" s="28"/>
      <c r="C9" s="28"/>
      <c r="D9" s="28"/>
      <c r="E9" s="28"/>
      <c r="F9" s="28"/>
      <c r="G9" s="28"/>
      <c r="H9" s="29"/>
      <c r="J9" s="25"/>
    </row>
    <row r="10" spans="2:10" ht="21" customHeight="1">
      <c r="B10" s="20">
        <f>H5+1</f>
        <v>0</v>
      </c>
      <c r="C10" s="20">
        <f>B10+1</f>
        <v>0</v>
      </c>
      <c r="D10" s="20">
        <f>C10+1</f>
        <v>0</v>
      </c>
      <c r="E10" s="20">
        <f>D10+1</f>
        <v>0</v>
      </c>
      <c r="F10" s="20">
        <f>E10+1</f>
        <v>0</v>
      </c>
      <c r="G10" s="20">
        <f>F10+1</f>
        <v>0</v>
      </c>
      <c r="H10" s="21">
        <f>G10+1</f>
        <v>0</v>
      </c>
      <c r="J10" s="22">
        <f>"WEEK "&amp;TEXT(_xlfn.ISOWEEKNUM(B10+3),"00")</f>
        <v>0</v>
      </c>
    </row>
    <row r="11" spans="2:10" ht="12" customHeight="1">
      <c r="B11" s="23">
        <f>IFERROR(INDEX(Holidays!$B$6:$B$60,MATCH(B10,Holidays!$C$6:$C$60,0)),"")</f>
        <v>0</v>
      </c>
      <c r="C11" s="23">
        <f>IFERROR(INDEX(Holidays!$B$6:$B$60,MATCH(C10,Holidays!$C$6:$C$60,0)),"")</f>
        <v>0</v>
      </c>
      <c r="D11" s="23">
        <f>IFERROR(INDEX(Holidays!$B$6:$B$60,MATCH(D10,Holidays!$C$6:$C$60,0)),"")</f>
        <v>0</v>
      </c>
      <c r="E11" s="23">
        <f>IFERROR(INDEX(Holidays!$B$6:$B$60,MATCH(E10,Holidays!$C$6:$C$60,0)),"")</f>
        <v>0</v>
      </c>
      <c r="F11" s="23">
        <f>IFERROR(INDEX(Holidays!$B$6:$B$60,MATCH(F10,Holidays!$C$6:$C$60,0)),"")</f>
        <v>0</v>
      </c>
      <c r="G11" s="23">
        <f>IFERROR(INDEX(Holidays!$B$6:$B$60,MATCH(G10,Holidays!$C$6:$C$60,0)),"")</f>
        <v>0</v>
      </c>
      <c r="H11" s="24">
        <f>IFERROR(INDEX(Holidays!$B$6:$B$60,MATCH(H10,Holidays!$C$6:$C$60,0)),"")</f>
        <v>0</v>
      </c>
      <c r="J11" s="25"/>
    </row>
    <row r="12" spans="2:10" ht="18" customHeight="1">
      <c r="B12" s="26"/>
      <c r="C12" s="26"/>
      <c r="D12" s="26"/>
      <c r="E12" s="26"/>
      <c r="F12" s="26"/>
      <c r="G12" s="26"/>
      <c r="H12" s="27"/>
      <c r="J12" s="25"/>
    </row>
    <row r="13" spans="2:10" ht="18" customHeight="1">
      <c r="B13" s="26"/>
      <c r="C13" s="26"/>
      <c r="D13" s="26"/>
      <c r="E13" s="26"/>
      <c r="F13" s="26"/>
      <c r="G13" s="26"/>
      <c r="H13" s="27"/>
      <c r="J13" s="25"/>
    </row>
    <row r="14" spans="2:10" ht="18" customHeight="1">
      <c r="B14" s="28"/>
      <c r="C14" s="28"/>
      <c r="D14" s="28"/>
      <c r="E14" s="28"/>
      <c r="F14" s="28"/>
      <c r="G14" s="28"/>
      <c r="H14" s="29"/>
      <c r="J14" s="25"/>
    </row>
    <row r="15" spans="2:10" ht="21" customHeight="1">
      <c r="B15" s="20">
        <f>H10+1</f>
        <v>0</v>
      </c>
      <c r="C15" s="20">
        <f>B15+1</f>
        <v>0</v>
      </c>
      <c r="D15" s="20">
        <f>C15+1</f>
        <v>0</v>
      </c>
      <c r="E15" s="20">
        <f>D15+1</f>
        <v>0</v>
      </c>
      <c r="F15" s="20">
        <f>E15+1</f>
        <v>0</v>
      </c>
      <c r="G15" s="20">
        <f>F15+1</f>
        <v>0</v>
      </c>
      <c r="H15" s="21">
        <f>G15+1</f>
        <v>0</v>
      </c>
      <c r="J15" s="22">
        <f>"WEEK "&amp;TEXT(_xlfn.ISOWEEKNUM(B15+3),"00")</f>
        <v>0</v>
      </c>
    </row>
    <row r="16" spans="2:10" ht="12" customHeight="1">
      <c r="B16" s="23">
        <f>IFERROR(INDEX(Holidays!$B$6:$B$60,MATCH(B15,Holidays!$C$6:$C$60,0)),"")</f>
        <v>0</v>
      </c>
      <c r="C16" s="23">
        <f>IFERROR(INDEX(Holidays!$B$6:$B$60,MATCH(C15,Holidays!$C$6:$C$60,0)),"")</f>
        <v>0</v>
      </c>
      <c r="D16" s="23">
        <f>IFERROR(INDEX(Holidays!$B$6:$B$60,MATCH(D15,Holidays!$C$6:$C$60,0)),"")</f>
        <v>0</v>
      </c>
      <c r="E16" s="23">
        <f>IFERROR(INDEX(Holidays!$B$6:$B$60,MATCH(E15,Holidays!$C$6:$C$60,0)),"")</f>
        <v>0</v>
      </c>
      <c r="F16" s="23">
        <f>IFERROR(INDEX(Holidays!$B$6:$B$60,MATCH(F15,Holidays!$C$6:$C$60,0)),"")</f>
        <v>0</v>
      </c>
      <c r="G16" s="23">
        <f>IFERROR(INDEX(Holidays!$B$6:$B$60,MATCH(G15,Holidays!$C$6:$C$60,0)),"")</f>
        <v>0</v>
      </c>
      <c r="H16" s="24">
        <f>IFERROR(INDEX(Holidays!$B$6:$B$60,MATCH(H15,Holidays!$C$6:$C$60,0)),"")</f>
        <v>0</v>
      </c>
      <c r="J16" s="25"/>
    </row>
    <row r="17" spans="2:10" ht="18" customHeight="1">
      <c r="B17" s="26"/>
      <c r="C17" s="26"/>
      <c r="D17" s="26"/>
      <c r="E17" s="26"/>
      <c r="F17" s="26"/>
      <c r="G17" s="26"/>
      <c r="H17" s="27"/>
      <c r="J17" s="25"/>
    </row>
    <row r="18" spans="2:10" ht="18" customHeight="1">
      <c r="B18" s="26"/>
      <c r="C18" s="26"/>
      <c r="D18" s="26"/>
      <c r="E18" s="26"/>
      <c r="F18" s="26"/>
      <c r="G18" s="26"/>
      <c r="H18" s="27"/>
      <c r="J18" s="25"/>
    </row>
    <row r="19" spans="2:10" ht="18" customHeight="1">
      <c r="B19" s="28"/>
      <c r="C19" s="28"/>
      <c r="D19" s="28"/>
      <c r="E19" s="28"/>
      <c r="F19" s="28"/>
      <c r="G19" s="28"/>
      <c r="H19" s="29"/>
      <c r="J19" s="25"/>
    </row>
    <row r="20" spans="2:10" ht="21" customHeight="1">
      <c r="B20" s="20">
        <f>H15+1</f>
        <v>0</v>
      </c>
      <c r="C20" s="20">
        <f>B20+1</f>
        <v>0</v>
      </c>
      <c r="D20" s="20">
        <f>C20+1</f>
        <v>0</v>
      </c>
      <c r="E20" s="20">
        <f>D20+1</f>
        <v>0</v>
      </c>
      <c r="F20" s="20">
        <f>E20+1</f>
        <v>0</v>
      </c>
      <c r="G20" s="20">
        <f>F20+1</f>
        <v>0</v>
      </c>
      <c r="H20" s="21">
        <f>G20+1</f>
        <v>0</v>
      </c>
      <c r="J20" s="22">
        <f>"WEEK "&amp;TEXT(_xlfn.ISOWEEKNUM(B20+3),"00")</f>
        <v>0</v>
      </c>
    </row>
    <row r="21" spans="2:10" ht="12" customHeight="1">
      <c r="B21" s="23">
        <f>IFERROR(INDEX(Holidays!$B$6:$B$60,MATCH(B20,Holidays!$C$6:$C$60,0)),"")</f>
        <v>0</v>
      </c>
      <c r="C21" s="23">
        <f>IFERROR(INDEX(Holidays!$B$6:$B$60,MATCH(C20,Holidays!$C$6:$C$60,0)),"")</f>
        <v>0</v>
      </c>
      <c r="D21" s="23">
        <f>IFERROR(INDEX(Holidays!$B$6:$B$60,MATCH(D20,Holidays!$C$6:$C$60,0)),"")</f>
        <v>0</v>
      </c>
      <c r="E21" s="23">
        <f>IFERROR(INDEX(Holidays!$B$6:$B$60,MATCH(E20,Holidays!$C$6:$C$60,0)),"")</f>
        <v>0</v>
      </c>
      <c r="F21" s="23">
        <f>IFERROR(INDEX(Holidays!$B$6:$B$60,MATCH(F20,Holidays!$C$6:$C$60,0)),"")</f>
        <v>0</v>
      </c>
      <c r="G21" s="23">
        <f>IFERROR(INDEX(Holidays!$B$6:$B$60,MATCH(G20,Holidays!$C$6:$C$60,0)),"")</f>
        <v>0</v>
      </c>
      <c r="H21" s="24">
        <f>IFERROR(INDEX(Holidays!$B$6:$B$60,MATCH(H20,Holidays!$C$6:$C$60,0)),"")</f>
        <v>0</v>
      </c>
      <c r="J21" s="25"/>
    </row>
    <row r="22" spans="2:10" ht="18" customHeight="1">
      <c r="B22" s="26"/>
      <c r="C22" s="26"/>
      <c r="D22" s="26"/>
      <c r="E22" s="26"/>
      <c r="F22" s="26"/>
      <c r="G22" s="26"/>
      <c r="H22" s="27"/>
      <c r="J22" s="25"/>
    </row>
    <row r="23" spans="2:10" ht="18" customHeight="1">
      <c r="B23" s="26"/>
      <c r="C23" s="26"/>
      <c r="D23" s="26"/>
      <c r="E23" s="26"/>
      <c r="F23" s="26"/>
      <c r="G23" s="26"/>
      <c r="H23" s="27"/>
      <c r="J23" s="25"/>
    </row>
    <row r="24" spans="2:10" ht="18" customHeight="1">
      <c r="B24" s="28"/>
      <c r="C24" s="28"/>
      <c r="D24" s="28"/>
      <c r="E24" s="28"/>
      <c r="F24" s="28"/>
      <c r="G24" s="28"/>
      <c r="H24" s="29"/>
      <c r="J24" s="25"/>
    </row>
    <row r="25" spans="2:10" ht="21" customHeight="1">
      <c r="B25" s="20">
        <f>H20+1</f>
        <v>0</v>
      </c>
      <c r="C25" s="20">
        <f>B25+1</f>
        <v>0</v>
      </c>
      <c r="D25" s="20">
        <f>C25+1</f>
        <v>0</v>
      </c>
      <c r="E25" s="20">
        <f>D25+1</f>
        <v>0</v>
      </c>
      <c r="F25" s="20">
        <f>E25+1</f>
        <v>0</v>
      </c>
      <c r="G25" s="20">
        <f>F25+1</f>
        <v>0</v>
      </c>
      <c r="H25" s="21">
        <f>G25+1</f>
        <v>0</v>
      </c>
      <c r="J25" s="22">
        <f>"WEEK "&amp;TEXT(_xlfn.ISOWEEKNUM(B25+3),"00")</f>
        <v>0</v>
      </c>
    </row>
    <row r="26" spans="2:10" ht="12" customHeight="1">
      <c r="B26" s="23">
        <f>IFERROR(INDEX(Holidays!$B$6:$B$60,MATCH(B25,Holidays!$C$6:$C$60,0)),"")</f>
        <v>0</v>
      </c>
      <c r="C26" s="23">
        <f>IFERROR(INDEX(Holidays!$B$6:$B$60,MATCH(C25,Holidays!$C$6:$C$60,0)),"")</f>
        <v>0</v>
      </c>
      <c r="D26" s="23">
        <f>IFERROR(INDEX(Holidays!$B$6:$B$60,MATCH(D25,Holidays!$C$6:$C$60,0)),"")</f>
        <v>0</v>
      </c>
      <c r="E26" s="23">
        <f>IFERROR(INDEX(Holidays!$B$6:$B$60,MATCH(E25,Holidays!$C$6:$C$60,0)),"")</f>
        <v>0</v>
      </c>
      <c r="F26" s="23">
        <f>IFERROR(INDEX(Holidays!$B$6:$B$60,MATCH(F25,Holidays!$C$6:$C$60,0)),"")</f>
        <v>0</v>
      </c>
      <c r="G26" s="23">
        <f>IFERROR(INDEX(Holidays!$B$6:$B$60,MATCH(G25,Holidays!$C$6:$C$60,0)),"")</f>
        <v>0</v>
      </c>
      <c r="H26" s="24">
        <f>IFERROR(INDEX(Holidays!$B$6:$B$60,MATCH(H25,Holidays!$C$6:$C$60,0)),"")</f>
        <v>0</v>
      </c>
      <c r="J26" s="25"/>
    </row>
    <row r="27" spans="2:10" ht="18" customHeight="1">
      <c r="B27" s="26"/>
      <c r="C27" s="26"/>
      <c r="D27" s="26"/>
      <c r="E27" s="26"/>
      <c r="F27" s="26"/>
      <c r="G27" s="26"/>
      <c r="H27" s="27"/>
      <c r="J27" s="25"/>
    </row>
    <row r="28" spans="2:10" ht="18" customHeight="1">
      <c r="B28" s="26"/>
      <c r="C28" s="26"/>
      <c r="D28" s="26"/>
      <c r="E28" s="26"/>
      <c r="F28" s="26"/>
      <c r="G28" s="26"/>
      <c r="H28" s="27"/>
      <c r="J28" s="25"/>
    </row>
    <row r="29" spans="2:10" ht="18" customHeight="1">
      <c r="B29" s="28"/>
      <c r="C29" s="28"/>
      <c r="D29" s="28"/>
      <c r="E29" s="28"/>
      <c r="F29" s="28"/>
      <c r="G29" s="28"/>
      <c r="H29" s="29"/>
      <c r="J29" s="25"/>
    </row>
    <row r="30" spans="2:10" ht="21" customHeight="1">
      <c r="B30" s="20">
        <f>H25+1</f>
        <v>0</v>
      </c>
      <c r="C30" s="20">
        <f>B30+1</f>
        <v>0</v>
      </c>
      <c r="D30" s="20">
        <f>C30+1</f>
        <v>0</v>
      </c>
      <c r="E30" s="20">
        <f>D30+1</f>
        <v>0</v>
      </c>
      <c r="F30" s="20">
        <f>E30+1</f>
        <v>0</v>
      </c>
      <c r="G30" s="20">
        <f>F30+1</f>
        <v>0</v>
      </c>
      <c r="H30" s="21">
        <f>G30+1</f>
        <v>0</v>
      </c>
      <c r="J30" s="22">
        <f>"WEEK "&amp;TEXT(_xlfn.ISOWEEKNUM(B30+3),"00")</f>
        <v>0</v>
      </c>
    </row>
    <row r="31" spans="2:10" ht="12" customHeight="1">
      <c r="B31" s="23">
        <f>IFERROR(INDEX(Holidays!$B$6:$B$60,MATCH(B30,Holidays!$C$6:$C$60,0)),"")</f>
        <v>0</v>
      </c>
      <c r="C31" s="23">
        <f>IFERROR(INDEX(Holidays!$B$6:$B$60,MATCH(C30,Holidays!$C$6:$C$60,0)),"")</f>
        <v>0</v>
      </c>
      <c r="D31" s="23">
        <f>IFERROR(INDEX(Holidays!$B$6:$B$60,MATCH(D30,Holidays!$C$6:$C$60,0)),"")</f>
        <v>0</v>
      </c>
      <c r="E31" s="23">
        <f>IFERROR(INDEX(Holidays!$B$6:$B$60,MATCH(E30,Holidays!$C$6:$C$60,0)),"")</f>
        <v>0</v>
      </c>
      <c r="F31" s="23">
        <f>IFERROR(INDEX(Holidays!$B$6:$B$60,MATCH(F30,Holidays!$C$6:$C$60,0)),"")</f>
        <v>0</v>
      </c>
      <c r="G31" s="23">
        <f>IFERROR(INDEX(Holidays!$B$6:$B$60,MATCH(G30,Holidays!$C$6:$C$60,0)),"")</f>
        <v>0</v>
      </c>
      <c r="H31" s="24">
        <f>IFERROR(INDEX(Holidays!$B$6:$B$60,MATCH(H30,Holidays!$C$6:$C$60,0)),"")</f>
        <v>0</v>
      </c>
      <c r="J31" s="30"/>
    </row>
    <row r="32" spans="2:10" ht="18" customHeight="1">
      <c r="B32" s="26"/>
      <c r="C32" s="26"/>
      <c r="D32" s="26"/>
      <c r="E32" s="26"/>
      <c r="F32" s="26"/>
      <c r="G32" s="26"/>
      <c r="H32" s="27"/>
      <c r="J32" s="30"/>
    </row>
    <row r="33" spans="2:10" ht="18" customHeight="1">
      <c r="B33" s="26"/>
      <c r="C33" s="26"/>
      <c r="D33" s="26"/>
      <c r="E33" s="26"/>
      <c r="F33" s="26"/>
      <c r="G33" s="26"/>
      <c r="H33" s="27"/>
      <c r="J33" s="30"/>
    </row>
    <row r="34" spans="2:10" ht="18" customHeight="1">
      <c r="B34" s="31"/>
      <c r="C34" s="31"/>
      <c r="D34" s="31"/>
      <c r="E34" s="31"/>
      <c r="F34" s="31"/>
      <c r="G34" s="31"/>
      <c r="H34" s="32"/>
      <c r="J34" s="30"/>
    </row>
    <row r="35" spans="2:10" ht="16" customHeight="1">
      <c r="B35" s="33" t="s">
        <v>19</v>
      </c>
      <c r="C35" s="33"/>
      <c r="D35" s="33"/>
      <c r="E35" s="33"/>
      <c r="F35" s="33"/>
      <c r="G35" s="33"/>
      <c r="H35" s="33"/>
      <c r="I35" s="33"/>
      <c r="J35" s="33"/>
    </row>
  </sheetData>
  <mergeCells count="10">
    <mergeCell ref="B2:F2"/>
    <mergeCell ref="G2:H2"/>
    <mergeCell ref="B3:H3"/>
    <mergeCell ref="J6:J9"/>
    <mergeCell ref="J11:J14"/>
    <mergeCell ref="J16:J19"/>
    <mergeCell ref="J21:J24"/>
    <mergeCell ref="J26:J29"/>
    <mergeCell ref="J31:J34"/>
    <mergeCell ref="B35:J35"/>
  </mergeCells>
  <conditionalFormatting sqref="B10:H14">
    <cfRule type="expression" dxfId="4" priority="8" stopIfTrue="1">
      <formula>AND(ROW()=10,B$10=TODAY())</formula>
    </cfRule>
    <cfRule type="expression" dxfId="5" priority="9" stopIfTrue="1">
      <formula>AND(NOT(MONTH(B$10)=4),OR(WEEKDAY(B$10)=1,WEEKDAY(B$10)=7))</formula>
    </cfRule>
    <cfRule type="expression" dxfId="6" priority="10" stopIfTrue="1">
      <formula>NOT(MONTH(B$10)=4)</formula>
    </cfRule>
    <cfRule type="expression" dxfId="7" priority="11" stopIfTrue="1">
      <formula>AND(ROW()&lt;=11,COUNTIFS(INDIRECT("Holidays!$C$6:$C$60"),B$10,INDIRECT("Holidays!$D$6:$D$60"),"Holiday")&gt;0)</formula>
    </cfRule>
    <cfRule type="expression" dxfId="8" priority="12" stopIfTrue="1">
      <formula>COUNTIFS(INDIRECT("Holidays!$C$6:$C$60"),B$10,INDIRECT("Holidays!$D$6:$D$60"),"Holiday")&gt;0</formula>
    </cfRule>
    <cfRule type="expression" dxfId="8" priority="13" stopIfTrue="1">
      <formula>B$10=TODAY()</formula>
    </cfRule>
    <cfRule type="expression" dxfId="9" priority="14" stopIfTrue="1">
      <formula>OR(WEEKDAY(B$10)=1,WEEKDAY(B$10)=7)</formula>
    </cfRule>
  </conditionalFormatting>
  <conditionalFormatting sqref="B15:H19">
    <cfRule type="expression" dxfId="4" priority="15" stopIfTrue="1">
      <formula>AND(ROW()=15,B$15=TODAY())</formula>
    </cfRule>
    <cfRule type="expression" dxfId="5" priority="16" stopIfTrue="1">
      <formula>AND(NOT(MONTH(B$15)=4),OR(WEEKDAY(B$15)=1,WEEKDAY(B$15)=7))</formula>
    </cfRule>
    <cfRule type="expression" dxfId="6" priority="17" stopIfTrue="1">
      <formula>NOT(MONTH(B$15)=4)</formula>
    </cfRule>
    <cfRule type="expression" dxfId="7" priority="18" stopIfTrue="1">
      <formula>AND(ROW()&lt;=16,COUNTIFS(INDIRECT("Holidays!$C$6:$C$60"),B$15,INDIRECT("Holidays!$D$6:$D$60"),"Holiday")&gt;0)</formula>
    </cfRule>
    <cfRule type="expression" dxfId="8" priority="19" stopIfTrue="1">
      <formula>COUNTIFS(INDIRECT("Holidays!$C$6:$C$60"),B$15,INDIRECT("Holidays!$D$6:$D$60"),"Holiday")&gt;0</formula>
    </cfRule>
    <cfRule type="expression" dxfId="8" priority="20" stopIfTrue="1">
      <formula>B$15=TODAY()</formula>
    </cfRule>
    <cfRule type="expression" dxfId="9" priority="21" stopIfTrue="1">
      <formula>OR(WEEKDAY(B$15)=1,WEEKDAY(B$15)=7)</formula>
    </cfRule>
  </conditionalFormatting>
  <conditionalFormatting sqref="B20:H24">
    <cfRule type="expression" dxfId="4" priority="22" stopIfTrue="1">
      <formula>AND(ROW()=20,B$20=TODAY())</formula>
    </cfRule>
    <cfRule type="expression" dxfId="5" priority="23" stopIfTrue="1">
      <formula>AND(NOT(MONTH(B$20)=4),OR(WEEKDAY(B$20)=1,WEEKDAY(B$20)=7))</formula>
    </cfRule>
    <cfRule type="expression" dxfId="6" priority="24" stopIfTrue="1">
      <formula>NOT(MONTH(B$20)=4)</formula>
    </cfRule>
    <cfRule type="expression" dxfId="7" priority="25" stopIfTrue="1">
      <formula>AND(ROW()&lt;=21,COUNTIFS(INDIRECT("Holidays!$C$6:$C$60"),B$20,INDIRECT("Holidays!$D$6:$D$60"),"Holiday")&gt;0)</formula>
    </cfRule>
    <cfRule type="expression" dxfId="8" priority="26" stopIfTrue="1">
      <formula>COUNTIFS(INDIRECT("Holidays!$C$6:$C$60"),B$20,INDIRECT("Holidays!$D$6:$D$60"),"Holiday")&gt;0</formula>
    </cfRule>
    <cfRule type="expression" dxfId="8" priority="27" stopIfTrue="1">
      <formula>B$20=TODAY()</formula>
    </cfRule>
    <cfRule type="expression" dxfId="9" priority="28" stopIfTrue="1">
      <formula>OR(WEEKDAY(B$20)=1,WEEKDAY(B$20)=7)</formula>
    </cfRule>
  </conditionalFormatting>
  <conditionalFormatting sqref="B25:H29">
    <cfRule type="expression" dxfId="4" priority="29" stopIfTrue="1">
      <formula>AND(ROW()=25,B$25=TODAY())</formula>
    </cfRule>
    <cfRule type="expression" dxfId="5" priority="30" stopIfTrue="1">
      <formula>AND(NOT(MONTH(B$25)=4),OR(WEEKDAY(B$25)=1,WEEKDAY(B$25)=7))</formula>
    </cfRule>
    <cfRule type="expression" dxfId="6" priority="31" stopIfTrue="1">
      <formula>NOT(MONTH(B$25)=4)</formula>
    </cfRule>
    <cfRule type="expression" dxfId="7" priority="32" stopIfTrue="1">
      <formula>AND(ROW()&lt;=26,COUNTIFS(INDIRECT("Holidays!$C$6:$C$60"),B$25,INDIRECT("Holidays!$D$6:$D$60"),"Holiday")&gt;0)</formula>
    </cfRule>
    <cfRule type="expression" dxfId="8" priority="33" stopIfTrue="1">
      <formula>COUNTIFS(INDIRECT("Holidays!$C$6:$C$60"),B$25,INDIRECT("Holidays!$D$6:$D$60"),"Holiday")&gt;0</formula>
    </cfRule>
    <cfRule type="expression" dxfId="8" priority="34" stopIfTrue="1">
      <formula>B$25=TODAY()</formula>
    </cfRule>
    <cfRule type="expression" dxfId="9" priority="35" stopIfTrue="1">
      <formula>OR(WEEKDAY(B$25)=1,WEEKDAY(B$25)=7)</formula>
    </cfRule>
  </conditionalFormatting>
  <conditionalFormatting sqref="B30:H34">
    <cfRule type="expression" dxfId="4" priority="36" stopIfTrue="1">
      <formula>AND(ROW()=30,B$30=TODAY())</formula>
    </cfRule>
    <cfRule type="expression" dxfId="5" priority="37" stopIfTrue="1">
      <formula>AND(NOT(MONTH(B$30)=4),OR(WEEKDAY(B$30)=1,WEEKDAY(B$30)=7))</formula>
    </cfRule>
    <cfRule type="expression" dxfId="6" priority="38" stopIfTrue="1">
      <formula>NOT(MONTH(B$30)=4)</formula>
    </cfRule>
    <cfRule type="expression" dxfId="7" priority="39" stopIfTrue="1">
      <formula>AND(ROW()&lt;=31,COUNTIFS(INDIRECT("Holidays!$C$6:$C$60"),B$30,INDIRECT("Holidays!$D$6:$D$60"),"Holiday")&gt;0)</formula>
    </cfRule>
    <cfRule type="expression" dxfId="8" priority="40" stopIfTrue="1">
      <formula>COUNTIFS(INDIRECT("Holidays!$C$6:$C$60"),B$30,INDIRECT("Holidays!$D$6:$D$60"),"Holiday")&gt;0</formula>
    </cfRule>
    <cfRule type="expression" dxfId="8" priority="41" stopIfTrue="1">
      <formula>B$30=TODAY()</formula>
    </cfRule>
    <cfRule type="expression" dxfId="9" priority="42" stopIfTrue="1">
      <formula>OR(WEEKDAY(B$30)=1,WEEKDAY(B$30)=7)</formula>
    </cfRule>
  </conditionalFormatting>
  <conditionalFormatting sqref="B5:H9">
    <cfRule type="expression" dxfId="4" priority="1" stopIfTrue="1">
      <formula>AND(ROW()=5,B$5=TODAY())</formula>
    </cfRule>
    <cfRule type="expression" dxfId="5" priority="2" stopIfTrue="1">
      <formula>AND(NOT(MONTH(B$5)=4),OR(WEEKDAY(B$5)=1,WEEKDAY(B$5)=7))</formula>
    </cfRule>
    <cfRule type="expression" dxfId="6" priority="3" stopIfTrue="1">
      <formula>NOT(MONTH(B$5)=4)</formula>
    </cfRule>
    <cfRule type="expression" dxfId="7" priority="4" stopIfTrue="1">
      <formula>AND(ROW()&lt;=6,COUNTIFS(INDIRECT("Holidays!$C$6:$C$60"),B$5,INDIRECT("Holidays!$D$6:$D$60"),"Holiday")&gt;0)</formula>
    </cfRule>
    <cfRule type="expression" dxfId="8" priority="5" stopIfTrue="1">
      <formula>COUNTIFS(INDIRECT("Holidays!$C$6:$C$60"),B$5,INDIRECT("Holidays!$D$6:$D$60"),"Holiday")&gt;0</formula>
    </cfRule>
    <cfRule type="expression" dxfId="8" priority="6" stopIfTrue="1">
      <formula>B$5=TODAY()</formula>
    </cfRule>
    <cfRule type="expression" dxfId="9" priority="7" stopIfTrue="1">
      <formula>OR(WEEKDAY(B$5)=1,WEEKDAY(B$5)=7)</formula>
    </cfRule>
  </conditionalFormatting>
  <printOptions horizontalCentered="1"/>
  <pageMargins left="0.4" right="0.4" top="0.4" bottom="0.4" header="0.3" footer="0.3"/>
  <pageSetup orientation="landscape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8" width="17.7109375" customWidth="1"/>
    <col min="9" max="9" width="2.28515625" customWidth="1"/>
    <col min="10" max="10" width="24.7109375" customWidth="1"/>
    <col min="11" max="11" width="2.28515625" customWidth="1"/>
  </cols>
  <sheetData>
    <row r="1" spans="2:10" ht="8" customHeight="1"/>
    <row r="2" spans="2:10" ht="46" customHeight="1">
      <c r="B2" s="46" t="s">
        <v>8</v>
      </c>
      <c r="C2" s="46"/>
      <c r="D2" s="46"/>
      <c r="E2" s="46"/>
      <c r="F2" s="46"/>
      <c r="G2" s="47">
        <f>CalYear</f>
        <v>0</v>
      </c>
      <c r="H2" s="47"/>
    </row>
    <row r="3" spans="2:10" ht="18" customHeight="1">
      <c r="B3" s="17" t="s">
        <v>17</v>
      </c>
      <c r="C3" s="17"/>
      <c r="D3" s="17"/>
      <c r="E3" s="17"/>
      <c r="F3" s="17"/>
      <c r="G3" s="17"/>
      <c r="H3" s="17"/>
    </row>
    <row r="4" spans="2:10" ht="22" customHeight="1">
      <c r="B4" s="48">
        <f>IF(WeekStart="Monday",CHOOSE(1,"MON","TUE","WED","THU","FRI","SAT","SUN"),CHOOSE(1,"SUN","MON","TUE","WED","THU","FRI","SAT"))</f>
        <v>0</v>
      </c>
      <c r="C4" s="48">
        <f>IF(WeekStart="Monday",CHOOSE(2,"MON","TUE","WED","THU","FRI","SAT","SUN"),CHOOSE(2,"SUN","MON","TUE","WED","THU","FRI","SAT"))</f>
        <v>0</v>
      </c>
      <c r="D4" s="48">
        <f>IF(WeekStart="Monday",CHOOSE(3,"MON","TUE","WED","THU","FRI","SAT","SUN"),CHOOSE(3,"SUN","MON","TUE","WED","THU","FRI","SAT"))</f>
        <v>0</v>
      </c>
      <c r="E4" s="48">
        <f>IF(WeekStart="Monday",CHOOSE(4,"MON","TUE","WED","THU","FRI","SAT","SUN"),CHOOSE(4,"SUN","MON","TUE","WED","THU","FRI","SAT"))</f>
        <v>0</v>
      </c>
      <c r="F4" s="48">
        <f>IF(WeekStart="Monday",CHOOSE(5,"MON","TUE","WED","THU","FRI","SAT","SUN"),CHOOSE(5,"SUN","MON","TUE","WED","THU","FRI","SAT"))</f>
        <v>0</v>
      </c>
      <c r="G4" s="48">
        <f>IF(WeekStart="Monday",CHOOSE(6,"MON","TUE","WED","THU","FRI","SAT","SUN"),CHOOSE(6,"SUN","MON","TUE","WED","THU","FRI","SAT"))</f>
        <v>0</v>
      </c>
      <c r="H4" s="48">
        <f>IF(WeekStart="Monday",CHOOSE(7,"MON","TUE","WED","THU","FRI","SAT","SUN"),CHOOSE(7,"SUN","MON","TUE","WED","THU","FRI","SAT"))</f>
        <v>0</v>
      </c>
      <c r="J4" s="49" t="s">
        <v>18</v>
      </c>
    </row>
    <row r="5" spans="2:10" ht="21" customHeight="1">
      <c r="B5" s="20">
        <f>DATE(CalYear,5,1)-WEEKDAY(DATE(CalYear,5,1),IF(WeekStart="Monday",2,1))+1</f>
        <v>0</v>
      </c>
      <c r="C5" s="20">
        <f>B5+1</f>
        <v>0</v>
      </c>
      <c r="D5" s="20">
        <f>C5+1</f>
        <v>0</v>
      </c>
      <c r="E5" s="20">
        <f>D5+1</f>
        <v>0</v>
      </c>
      <c r="F5" s="20">
        <f>E5+1</f>
        <v>0</v>
      </c>
      <c r="G5" s="20">
        <f>F5+1</f>
        <v>0</v>
      </c>
      <c r="H5" s="21">
        <f>G5+1</f>
        <v>0</v>
      </c>
      <c r="J5" s="22">
        <f>"WEEK "&amp;TEXT(_xlfn.ISOWEEKNUM(B5+3),"00")</f>
        <v>0</v>
      </c>
    </row>
    <row r="6" spans="2:10" ht="12" customHeight="1">
      <c r="B6" s="23">
        <f>IFERROR(INDEX(Holidays!$B$6:$B$60,MATCH(B5,Holidays!$C$6:$C$60,0)),"")</f>
        <v>0</v>
      </c>
      <c r="C6" s="23">
        <f>IFERROR(INDEX(Holidays!$B$6:$B$60,MATCH(C5,Holidays!$C$6:$C$60,0)),"")</f>
        <v>0</v>
      </c>
      <c r="D6" s="23">
        <f>IFERROR(INDEX(Holidays!$B$6:$B$60,MATCH(D5,Holidays!$C$6:$C$60,0)),"")</f>
        <v>0</v>
      </c>
      <c r="E6" s="23">
        <f>IFERROR(INDEX(Holidays!$B$6:$B$60,MATCH(E5,Holidays!$C$6:$C$60,0)),"")</f>
        <v>0</v>
      </c>
      <c r="F6" s="23">
        <f>IFERROR(INDEX(Holidays!$B$6:$B$60,MATCH(F5,Holidays!$C$6:$C$60,0)),"")</f>
        <v>0</v>
      </c>
      <c r="G6" s="23">
        <f>IFERROR(INDEX(Holidays!$B$6:$B$60,MATCH(G5,Holidays!$C$6:$C$60,0)),"")</f>
        <v>0</v>
      </c>
      <c r="H6" s="24">
        <f>IFERROR(INDEX(Holidays!$B$6:$B$60,MATCH(H5,Holidays!$C$6:$C$60,0)),"")</f>
        <v>0</v>
      </c>
      <c r="J6" s="25"/>
    </row>
    <row r="7" spans="2:10" ht="18" customHeight="1">
      <c r="B7" s="26"/>
      <c r="C7" s="26"/>
      <c r="D7" s="26"/>
      <c r="E7" s="26"/>
      <c r="F7" s="26"/>
      <c r="G7" s="26"/>
      <c r="H7" s="27"/>
      <c r="J7" s="25"/>
    </row>
    <row r="8" spans="2:10" ht="18" customHeight="1">
      <c r="B8" s="26"/>
      <c r="C8" s="26"/>
      <c r="D8" s="26"/>
      <c r="E8" s="26"/>
      <c r="F8" s="26"/>
      <c r="G8" s="26"/>
      <c r="H8" s="27"/>
      <c r="J8" s="25"/>
    </row>
    <row r="9" spans="2:10" ht="18" customHeight="1">
      <c r="B9" s="28"/>
      <c r="C9" s="28"/>
      <c r="D9" s="28"/>
      <c r="E9" s="28"/>
      <c r="F9" s="28"/>
      <c r="G9" s="28"/>
      <c r="H9" s="29"/>
      <c r="J9" s="25"/>
    </row>
    <row r="10" spans="2:10" ht="21" customHeight="1">
      <c r="B10" s="20">
        <f>H5+1</f>
        <v>0</v>
      </c>
      <c r="C10" s="20">
        <f>B10+1</f>
        <v>0</v>
      </c>
      <c r="D10" s="20">
        <f>C10+1</f>
        <v>0</v>
      </c>
      <c r="E10" s="20">
        <f>D10+1</f>
        <v>0</v>
      </c>
      <c r="F10" s="20">
        <f>E10+1</f>
        <v>0</v>
      </c>
      <c r="G10" s="20">
        <f>F10+1</f>
        <v>0</v>
      </c>
      <c r="H10" s="21">
        <f>G10+1</f>
        <v>0</v>
      </c>
      <c r="J10" s="22">
        <f>"WEEK "&amp;TEXT(_xlfn.ISOWEEKNUM(B10+3),"00")</f>
        <v>0</v>
      </c>
    </row>
    <row r="11" spans="2:10" ht="12" customHeight="1">
      <c r="B11" s="23">
        <f>IFERROR(INDEX(Holidays!$B$6:$B$60,MATCH(B10,Holidays!$C$6:$C$60,0)),"")</f>
        <v>0</v>
      </c>
      <c r="C11" s="23">
        <f>IFERROR(INDEX(Holidays!$B$6:$B$60,MATCH(C10,Holidays!$C$6:$C$60,0)),"")</f>
        <v>0</v>
      </c>
      <c r="D11" s="23">
        <f>IFERROR(INDEX(Holidays!$B$6:$B$60,MATCH(D10,Holidays!$C$6:$C$60,0)),"")</f>
        <v>0</v>
      </c>
      <c r="E11" s="23">
        <f>IFERROR(INDEX(Holidays!$B$6:$B$60,MATCH(E10,Holidays!$C$6:$C$60,0)),"")</f>
        <v>0</v>
      </c>
      <c r="F11" s="23">
        <f>IFERROR(INDEX(Holidays!$B$6:$B$60,MATCH(F10,Holidays!$C$6:$C$60,0)),"")</f>
        <v>0</v>
      </c>
      <c r="G11" s="23">
        <f>IFERROR(INDEX(Holidays!$B$6:$B$60,MATCH(G10,Holidays!$C$6:$C$60,0)),"")</f>
        <v>0</v>
      </c>
      <c r="H11" s="24">
        <f>IFERROR(INDEX(Holidays!$B$6:$B$60,MATCH(H10,Holidays!$C$6:$C$60,0)),"")</f>
        <v>0</v>
      </c>
      <c r="J11" s="25"/>
    </row>
    <row r="12" spans="2:10" ht="18" customHeight="1">
      <c r="B12" s="26"/>
      <c r="C12" s="26"/>
      <c r="D12" s="26"/>
      <c r="E12" s="26"/>
      <c r="F12" s="26"/>
      <c r="G12" s="26"/>
      <c r="H12" s="27"/>
      <c r="J12" s="25"/>
    </row>
    <row r="13" spans="2:10" ht="18" customHeight="1">
      <c r="B13" s="26"/>
      <c r="C13" s="26"/>
      <c r="D13" s="26"/>
      <c r="E13" s="26"/>
      <c r="F13" s="26"/>
      <c r="G13" s="26"/>
      <c r="H13" s="27"/>
      <c r="J13" s="25"/>
    </row>
    <row r="14" spans="2:10" ht="18" customHeight="1">
      <c r="B14" s="28"/>
      <c r="C14" s="28"/>
      <c r="D14" s="28"/>
      <c r="E14" s="28"/>
      <c r="F14" s="28"/>
      <c r="G14" s="28"/>
      <c r="H14" s="29"/>
      <c r="J14" s="25"/>
    </row>
    <row r="15" spans="2:10" ht="21" customHeight="1">
      <c r="B15" s="20">
        <f>H10+1</f>
        <v>0</v>
      </c>
      <c r="C15" s="20">
        <f>B15+1</f>
        <v>0</v>
      </c>
      <c r="D15" s="20">
        <f>C15+1</f>
        <v>0</v>
      </c>
      <c r="E15" s="20">
        <f>D15+1</f>
        <v>0</v>
      </c>
      <c r="F15" s="20">
        <f>E15+1</f>
        <v>0</v>
      </c>
      <c r="G15" s="20">
        <f>F15+1</f>
        <v>0</v>
      </c>
      <c r="H15" s="21">
        <f>G15+1</f>
        <v>0</v>
      </c>
      <c r="J15" s="22">
        <f>"WEEK "&amp;TEXT(_xlfn.ISOWEEKNUM(B15+3),"00")</f>
        <v>0</v>
      </c>
    </row>
    <row r="16" spans="2:10" ht="12" customHeight="1">
      <c r="B16" s="23">
        <f>IFERROR(INDEX(Holidays!$B$6:$B$60,MATCH(B15,Holidays!$C$6:$C$60,0)),"")</f>
        <v>0</v>
      </c>
      <c r="C16" s="23">
        <f>IFERROR(INDEX(Holidays!$B$6:$B$60,MATCH(C15,Holidays!$C$6:$C$60,0)),"")</f>
        <v>0</v>
      </c>
      <c r="D16" s="23">
        <f>IFERROR(INDEX(Holidays!$B$6:$B$60,MATCH(D15,Holidays!$C$6:$C$60,0)),"")</f>
        <v>0</v>
      </c>
      <c r="E16" s="23">
        <f>IFERROR(INDEX(Holidays!$B$6:$B$60,MATCH(E15,Holidays!$C$6:$C$60,0)),"")</f>
        <v>0</v>
      </c>
      <c r="F16" s="23">
        <f>IFERROR(INDEX(Holidays!$B$6:$B$60,MATCH(F15,Holidays!$C$6:$C$60,0)),"")</f>
        <v>0</v>
      </c>
      <c r="G16" s="23">
        <f>IFERROR(INDEX(Holidays!$B$6:$B$60,MATCH(G15,Holidays!$C$6:$C$60,0)),"")</f>
        <v>0</v>
      </c>
      <c r="H16" s="24">
        <f>IFERROR(INDEX(Holidays!$B$6:$B$60,MATCH(H15,Holidays!$C$6:$C$60,0)),"")</f>
        <v>0</v>
      </c>
      <c r="J16" s="25"/>
    </row>
    <row r="17" spans="2:10" ht="18" customHeight="1">
      <c r="B17" s="26"/>
      <c r="C17" s="26"/>
      <c r="D17" s="26"/>
      <c r="E17" s="26"/>
      <c r="F17" s="26"/>
      <c r="G17" s="26"/>
      <c r="H17" s="27"/>
      <c r="J17" s="25"/>
    </row>
    <row r="18" spans="2:10" ht="18" customHeight="1">
      <c r="B18" s="26"/>
      <c r="C18" s="26"/>
      <c r="D18" s="26"/>
      <c r="E18" s="26"/>
      <c r="F18" s="26"/>
      <c r="G18" s="26"/>
      <c r="H18" s="27"/>
      <c r="J18" s="25"/>
    </row>
    <row r="19" spans="2:10" ht="18" customHeight="1">
      <c r="B19" s="28"/>
      <c r="C19" s="28"/>
      <c r="D19" s="28"/>
      <c r="E19" s="28"/>
      <c r="F19" s="28"/>
      <c r="G19" s="28"/>
      <c r="H19" s="29"/>
      <c r="J19" s="25"/>
    </row>
    <row r="20" spans="2:10" ht="21" customHeight="1">
      <c r="B20" s="20">
        <f>H15+1</f>
        <v>0</v>
      </c>
      <c r="C20" s="20">
        <f>B20+1</f>
        <v>0</v>
      </c>
      <c r="D20" s="20">
        <f>C20+1</f>
        <v>0</v>
      </c>
      <c r="E20" s="20">
        <f>D20+1</f>
        <v>0</v>
      </c>
      <c r="F20" s="20">
        <f>E20+1</f>
        <v>0</v>
      </c>
      <c r="G20" s="20">
        <f>F20+1</f>
        <v>0</v>
      </c>
      <c r="H20" s="21">
        <f>G20+1</f>
        <v>0</v>
      </c>
      <c r="J20" s="22">
        <f>"WEEK "&amp;TEXT(_xlfn.ISOWEEKNUM(B20+3),"00")</f>
        <v>0</v>
      </c>
    </row>
    <row r="21" spans="2:10" ht="12" customHeight="1">
      <c r="B21" s="23">
        <f>IFERROR(INDEX(Holidays!$B$6:$B$60,MATCH(B20,Holidays!$C$6:$C$60,0)),"")</f>
        <v>0</v>
      </c>
      <c r="C21" s="23">
        <f>IFERROR(INDEX(Holidays!$B$6:$B$60,MATCH(C20,Holidays!$C$6:$C$60,0)),"")</f>
        <v>0</v>
      </c>
      <c r="D21" s="23">
        <f>IFERROR(INDEX(Holidays!$B$6:$B$60,MATCH(D20,Holidays!$C$6:$C$60,0)),"")</f>
        <v>0</v>
      </c>
      <c r="E21" s="23">
        <f>IFERROR(INDEX(Holidays!$B$6:$B$60,MATCH(E20,Holidays!$C$6:$C$60,0)),"")</f>
        <v>0</v>
      </c>
      <c r="F21" s="23">
        <f>IFERROR(INDEX(Holidays!$B$6:$B$60,MATCH(F20,Holidays!$C$6:$C$60,0)),"")</f>
        <v>0</v>
      </c>
      <c r="G21" s="23">
        <f>IFERROR(INDEX(Holidays!$B$6:$B$60,MATCH(G20,Holidays!$C$6:$C$60,0)),"")</f>
        <v>0</v>
      </c>
      <c r="H21" s="24">
        <f>IFERROR(INDEX(Holidays!$B$6:$B$60,MATCH(H20,Holidays!$C$6:$C$60,0)),"")</f>
        <v>0</v>
      </c>
      <c r="J21" s="25"/>
    </row>
    <row r="22" spans="2:10" ht="18" customHeight="1">
      <c r="B22" s="26"/>
      <c r="C22" s="26"/>
      <c r="D22" s="26"/>
      <c r="E22" s="26"/>
      <c r="F22" s="26"/>
      <c r="G22" s="26"/>
      <c r="H22" s="27"/>
      <c r="J22" s="25"/>
    </row>
    <row r="23" spans="2:10" ht="18" customHeight="1">
      <c r="B23" s="26"/>
      <c r="C23" s="26"/>
      <c r="D23" s="26"/>
      <c r="E23" s="26"/>
      <c r="F23" s="26"/>
      <c r="G23" s="26"/>
      <c r="H23" s="27"/>
      <c r="J23" s="25"/>
    </row>
    <row r="24" spans="2:10" ht="18" customHeight="1">
      <c r="B24" s="28"/>
      <c r="C24" s="28"/>
      <c r="D24" s="28"/>
      <c r="E24" s="28"/>
      <c r="F24" s="28"/>
      <c r="G24" s="28"/>
      <c r="H24" s="29"/>
      <c r="J24" s="25"/>
    </row>
    <row r="25" spans="2:10" ht="21" customHeight="1">
      <c r="B25" s="20">
        <f>H20+1</f>
        <v>0</v>
      </c>
      <c r="C25" s="20">
        <f>B25+1</f>
        <v>0</v>
      </c>
      <c r="D25" s="20">
        <f>C25+1</f>
        <v>0</v>
      </c>
      <c r="E25" s="20">
        <f>D25+1</f>
        <v>0</v>
      </c>
      <c r="F25" s="20">
        <f>E25+1</f>
        <v>0</v>
      </c>
      <c r="G25" s="20">
        <f>F25+1</f>
        <v>0</v>
      </c>
      <c r="H25" s="21">
        <f>G25+1</f>
        <v>0</v>
      </c>
      <c r="J25" s="22">
        <f>"WEEK "&amp;TEXT(_xlfn.ISOWEEKNUM(B25+3),"00")</f>
        <v>0</v>
      </c>
    </row>
    <row r="26" spans="2:10" ht="12" customHeight="1">
      <c r="B26" s="23">
        <f>IFERROR(INDEX(Holidays!$B$6:$B$60,MATCH(B25,Holidays!$C$6:$C$60,0)),"")</f>
        <v>0</v>
      </c>
      <c r="C26" s="23">
        <f>IFERROR(INDEX(Holidays!$B$6:$B$60,MATCH(C25,Holidays!$C$6:$C$60,0)),"")</f>
        <v>0</v>
      </c>
      <c r="D26" s="23">
        <f>IFERROR(INDEX(Holidays!$B$6:$B$60,MATCH(D25,Holidays!$C$6:$C$60,0)),"")</f>
        <v>0</v>
      </c>
      <c r="E26" s="23">
        <f>IFERROR(INDEX(Holidays!$B$6:$B$60,MATCH(E25,Holidays!$C$6:$C$60,0)),"")</f>
        <v>0</v>
      </c>
      <c r="F26" s="23">
        <f>IFERROR(INDEX(Holidays!$B$6:$B$60,MATCH(F25,Holidays!$C$6:$C$60,0)),"")</f>
        <v>0</v>
      </c>
      <c r="G26" s="23">
        <f>IFERROR(INDEX(Holidays!$B$6:$B$60,MATCH(G25,Holidays!$C$6:$C$60,0)),"")</f>
        <v>0</v>
      </c>
      <c r="H26" s="24">
        <f>IFERROR(INDEX(Holidays!$B$6:$B$60,MATCH(H25,Holidays!$C$6:$C$60,0)),"")</f>
        <v>0</v>
      </c>
      <c r="J26" s="25"/>
    </row>
    <row r="27" spans="2:10" ht="18" customHeight="1">
      <c r="B27" s="26"/>
      <c r="C27" s="26"/>
      <c r="D27" s="26"/>
      <c r="E27" s="26"/>
      <c r="F27" s="26"/>
      <c r="G27" s="26"/>
      <c r="H27" s="27"/>
      <c r="J27" s="25"/>
    </row>
    <row r="28" spans="2:10" ht="18" customHeight="1">
      <c r="B28" s="26"/>
      <c r="C28" s="26"/>
      <c r="D28" s="26"/>
      <c r="E28" s="26"/>
      <c r="F28" s="26"/>
      <c r="G28" s="26"/>
      <c r="H28" s="27"/>
      <c r="J28" s="25"/>
    </row>
    <row r="29" spans="2:10" ht="18" customHeight="1">
      <c r="B29" s="28"/>
      <c r="C29" s="28"/>
      <c r="D29" s="28"/>
      <c r="E29" s="28"/>
      <c r="F29" s="28"/>
      <c r="G29" s="28"/>
      <c r="H29" s="29"/>
      <c r="J29" s="25"/>
    </row>
    <row r="30" spans="2:10" ht="21" customHeight="1">
      <c r="B30" s="20">
        <f>H25+1</f>
        <v>0</v>
      </c>
      <c r="C30" s="20">
        <f>B30+1</f>
        <v>0</v>
      </c>
      <c r="D30" s="20">
        <f>C30+1</f>
        <v>0</v>
      </c>
      <c r="E30" s="20">
        <f>D30+1</f>
        <v>0</v>
      </c>
      <c r="F30" s="20">
        <f>E30+1</f>
        <v>0</v>
      </c>
      <c r="G30" s="20">
        <f>F30+1</f>
        <v>0</v>
      </c>
      <c r="H30" s="21">
        <f>G30+1</f>
        <v>0</v>
      </c>
      <c r="J30" s="22">
        <f>"WEEK "&amp;TEXT(_xlfn.ISOWEEKNUM(B30+3),"00")</f>
        <v>0</v>
      </c>
    </row>
    <row r="31" spans="2:10" ht="12" customHeight="1">
      <c r="B31" s="23">
        <f>IFERROR(INDEX(Holidays!$B$6:$B$60,MATCH(B30,Holidays!$C$6:$C$60,0)),"")</f>
        <v>0</v>
      </c>
      <c r="C31" s="23">
        <f>IFERROR(INDEX(Holidays!$B$6:$B$60,MATCH(C30,Holidays!$C$6:$C$60,0)),"")</f>
        <v>0</v>
      </c>
      <c r="D31" s="23">
        <f>IFERROR(INDEX(Holidays!$B$6:$B$60,MATCH(D30,Holidays!$C$6:$C$60,0)),"")</f>
        <v>0</v>
      </c>
      <c r="E31" s="23">
        <f>IFERROR(INDEX(Holidays!$B$6:$B$60,MATCH(E30,Holidays!$C$6:$C$60,0)),"")</f>
        <v>0</v>
      </c>
      <c r="F31" s="23">
        <f>IFERROR(INDEX(Holidays!$B$6:$B$60,MATCH(F30,Holidays!$C$6:$C$60,0)),"")</f>
        <v>0</v>
      </c>
      <c r="G31" s="23">
        <f>IFERROR(INDEX(Holidays!$B$6:$B$60,MATCH(G30,Holidays!$C$6:$C$60,0)),"")</f>
        <v>0</v>
      </c>
      <c r="H31" s="24">
        <f>IFERROR(INDEX(Holidays!$B$6:$B$60,MATCH(H30,Holidays!$C$6:$C$60,0)),"")</f>
        <v>0</v>
      </c>
      <c r="J31" s="30"/>
    </row>
    <row r="32" spans="2:10" ht="18" customHeight="1">
      <c r="B32" s="26"/>
      <c r="C32" s="26"/>
      <c r="D32" s="26"/>
      <c r="E32" s="26"/>
      <c r="F32" s="26"/>
      <c r="G32" s="26"/>
      <c r="H32" s="27"/>
      <c r="J32" s="30"/>
    </row>
    <row r="33" spans="2:10" ht="18" customHeight="1">
      <c r="B33" s="26"/>
      <c r="C33" s="26"/>
      <c r="D33" s="26"/>
      <c r="E33" s="26"/>
      <c r="F33" s="26"/>
      <c r="G33" s="26"/>
      <c r="H33" s="27"/>
      <c r="J33" s="30"/>
    </row>
    <row r="34" spans="2:10" ht="18" customHeight="1">
      <c r="B34" s="31"/>
      <c r="C34" s="31"/>
      <c r="D34" s="31"/>
      <c r="E34" s="31"/>
      <c r="F34" s="31"/>
      <c r="G34" s="31"/>
      <c r="H34" s="32"/>
      <c r="J34" s="30"/>
    </row>
    <row r="35" spans="2:10" ht="16" customHeight="1">
      <c r="B35" s="33" t="s">
        <v>19</v>
      </c>
      <c r="C35" s="33"/>
      <c r="D35" s="33"/>
      <c r="E35" s="33"/>
      <c r="F35" s="33"/>
      <c r="G35" s="33"/>
      <c r="H35" s="33"/>
      <c r="I35" s="33"/>
      <c r="J35" s="33"/>
    </row>
  </sheetData>
  <mergeCells count="10">
    <mergeCell ref="B2:F2"/>
    <mergeCell ref="G2:H2"/>
    <mergeCell ref="B3:H3"/>
    <mergeCell ref="J6:J9"/>
    <mergeCell ref="J11:J14"/>
    <mergeCell ref="J16:J19"/>
    <mergeCell ref="J21:J24"/>
    <mergeCell ref="J26:J29"/>
    <mergeCell ref="J31:J34"/>
    <mergeCell ref="B35:J35"/>
  </mergeCells>
  <conditionalFormatting sqref="B10:H14">
    <cfRule type="expression" dxfId="4" priority="8" stopIfTrue="1">
      <formula>AND(ROW()=10,B$10=TODAY())</formula>
    </cfRule>
    <cfRule type="expression" dxfId="5" priority="9" stopIfTrue="1">
      <formula>AND(NOT(MONTH(B$10)=5),OR(WEEKDAY(B$10)=1,WEEKDAY(B$10)=7))</formula>
    </cfRule>
    <cfRule type="expression" dxfId="6" priority="10" stopIfTrue="1">
      <formula>NOT(MONTH(B$10)=5)</formula>
    </cfRule>
    <cfRule type="expression" dxfId="7" priority="11" stopIfTrue="1">
      <formula>AND(ROW()&lt;=11,COUNTIFS(INDIRECT("Holidays!$C$6:$C$60"),B$10,INDIRECT("Holidays!$D$6:$D$60"),"Holiday")&gt;0)</formula>
    </cfRule>
    <cfRule type="expression" dxfId="8" priority="12" stopIfTrue="1">
      <formula>COUNTIFS(INDIRECT("Holidays!$C$6:$C$60"),B$10,INDIRECT("Holidays!$D$6:$D$60"),"Holiday")&gt;0</formula>
    </cfRule>
    <cfRule type="expression" dxfId="8" priority="13" stopIfTrue="1">
      <formula>B$10=TODAY()</formula>
    </cfRule>
    <cfRule type="expression" dxfId="9" priority="14" stopIfTrue="1">
      <formula>OR(WEEKDAY(B$10)=1,WEEKDAY(B$10)=7)</formula>
    </cfRule>
  </conditionalFormatting>
  <conditionalFormatting sqref="B15:H19">
    <cfRule type="expression" dxfId="4" priority="15" stopIfTrue="1">
      <formula>AND(ROW()=15,B$15=TODAY())</formula>
    </cfRule>
    <cfRule type="expression" dxfId="5" priority="16" stopIfTrue="1">
      <formula>AND(NOT(MONTH(B$15)=5),OR(WEEKDAY(B$15)=1,WEEKDAY(B$15)=7))</formula>
    </cfRule>
    <cfRule type="expression" dxfId="6" priority="17" stopIfTrue="1">
      <formula>NOT(MONTH(B$15)=5)</formula>
    </cfRule>
    <cfRule type="expression" dxfId="7" priority="18" stopIfTrue="1">
      <formula>AND(ROW()&lt;=16,COUNTIFS(INDIRECT("Holidays!$C$6:$C$60"),B$15,INDIRECT("Holidays!$D$6:$D$60"),"Holiday")&gt;0)</formula>
    </cfRule>
    <cfRule type="expression" dxfId="8" priority="19" stopIfTrue="1">
      <formula>COUNTIFS(INDIRECT("Holidays!$C$6:$C$60"),B$15,INDIRECT("Holidays!$D$6:$D$60"),"Holiday")&gt;0</formula>
    </cfRule>
    <cfRule type="expression" dxfId="8" priority="20" stopIfTrue="1">
      <formula>B$15=TODAY()</formula>
    </cfRule>
    <cfRule type="expression" dxfId="9" priority="21" stopIfTrue="1">
      <formula>OR(WEEKDAY(B$15)=1,WEEKDAY(B$15)=7)</formula>
    </cfRule>
  </conditionalFormatting>
  <conditionalFormatting sqref="B20:H24">
    <cfRule type="expression" dxfId="4" priority="22" stopIfTrue="1">
      <formula>AND(ROW()=20,B$20=TODAY())</formula>
    </cfRule>
    <cfRule type="expression" dxfId="5" priority="23" stopIfTrue="1">
      <formula>AND(NOT(MONTH(B$20)=5),OR(WEEKDAY(B$20)=1,WEEKDAY(B$20)=7))</formula>
    </cfRule>
    <cfRule type="expression" dxfId="6" priority="24" stopIfTrue="1">
      <formula>NOT(MONTH(B$20)=5)</formula>
    </cfRule>
    <cfRule type="expression" dxfId="7" priority="25" stopIfTrue="1">
      <formula>AND(ROW()&lt;=21,COUNTIFS(INDIRECT("Holidays!$C$6:$C$60"),B$20,INDIRECT("Holidays!$D$6:$D$60"),"Holiday")&gt;0)</formula>
    </cfRule>
    <cfRule type="expression" dxfId="8" priority="26" stopIfTrue="1">
      <formula>COUNTIFS(INDIRECT("Holidays!$C$6:$C$60"),B$20,INDIRECT("Holidays!$D$6:$D$60"),"Holiday")&gt;0</formula>
    </cfRule>
    <cfRule type="expression" dxfId="8" priority="27" stopIfTrue="1">
      <formula>B$20=TODAY()</formula>
    </cfRule>
    <cfRule type="expression" dxfId="9" priority="28" stopIfTrue="1">
      <formula>OR(WEEKDAY(B$20)=1,WEEKDAY(B$20)=7)</formula>
    </cfRule>
  </conditionalFormatting>
  <conditionalFormatting sqref="B25:H29">
    <cfRule type="expression" dxfId="4" priority="29" stopIfTrue="1">
      <formula>AND(ROW()=25,B$25=TODAY())</formula>
    </cfRule>
    <cfRule type="expression" dxfId="5" priority="30" stopIfTrue="1">
      <formula>AND(NOT(MONTH(B$25)=5),OR(WEEKDAY(B$25)=1,WEEKDAY(B$25)=7))</formula>
    </cfRule>
    <cfRule type="expression" dxfId="6" priority="31" stopIfTrue="1">
      <formula>NOT(MONTH(B$25)=5)</formula>
    </cfRule>
    <cfRule type="expression" dxfId="7" priority="32" stopIfTrue="1">
      <formula>AND(ROW()&lt;=26,COUNTIFS(INDIRECT("Holidays!$C$6:$C$60"),B$25,INDIRECT("Holidays!$D$6:$D$60"),"Holiday")&gt;0)</formula>
    </cfRule>
    <cfRule type="expression" dxfId="8" priority="33" stopIfTrue="1">
      <formula>COUNTIFS(INDIRECT("Holidays!$C$6:$C$60"),B$25,INDIRECT("Holidays!$D$6:$D$60"),"Holiday")&gt;0</formula>
    </cfRule>
    <cfRule type="expression" dxfId="8" priority="34" stopIfTrue="1">
      <formula>B$25=TODAY()</formula>
    </cfRule>
    <cfRule type="expression" dxfId="9" priority="35" stopIfTrue="1">
      <formula>OR(WEEKDAY(B$25)=1,WEEKDAY(B$25)=7)</formula>
    </cfRule>
  </conditionalFormatting>
  <conditionalFormatting sqref="B30:H34">
    <cfRule type="expression" dxfId="4" priority="36" stopIfTrue="1">
      <formula>AND(ROW()=30,B$30=TODAY())</formula>
    </cfRule>
    <cfRule type="expression" dxfId="5" priority="37" stopIfTrue="1">
      <formula>AND(NOT(MONTH(B$30)=5),OR(WEEKDAY(B$30)=1,WEEKDAY(B$30)=7))</formula>
    </cfRule>
    <cfRule type="expression" dxfId="6" priority="38" stopIfTrue="1">
      <formula>NOT(MONTH(B$30)=5)</formula>
    </cfRule>
    <cfRule type="expression" dxfId="7" priority="39" stopIfTrue="1">
      <formula>AND(ROW()&lt;=31,COUNTIFS(INDIRECT("Holidays!$C$6:$C$60"),B$30,INDIRECT("Holidays!$D$6:$D$60"),"Holiday")&gt;0)</formula>
    </cfRule>
    <cfRule type="expression" dxfId="8" priority="40" stopIfTrue="1">
      <formula>COUNTIFS(INDIRECT("Holidays!$C$6:$C$60"),B$30,INDIRECT("Holidays!$D$6:$D$60"),"Holiday")&gt;0</formula>
    </cfRule>
    <cfRule type="expression" dxfId="8" priority="41" stopIfTrue="1">
      <formula>B$30=TODAY()</formula>
    </cfRule>
    <cfRule type="expression" dxfId="9" priority="42" stopIfTrue="1">
      <formula>OR(WEEKDAY(B$30)=1,WEEKDAY(B$30)=7)</formula>
    </cfRule>
  </conditionalFormatting>
  <conditionalFormatting sqref="B5:H9">
    <cfRule type="expression" dxfId="4" priority="1" stopIfTrue="1">
      <formula>AND(ROW()=5,B$5=TODAY())</formula>
    </cfRule>
    <cfRule type="expression" dxfId="5" priority="2" stopIfTrue="1">
      <formula>AND(NOT(MONTH(B$5)=5),OR(WEEKDAY(B$5)=1,WEEKDAY(B$5)=7))</formula>
    </cfRule>
    <cfRule type="expression" dxfId="6" priority="3" stopIfTrue="1">
      <formula>NOT(MONTH(B$5)=5)</formula>
    </cfRule>
    <cfRule type="expression" dxfId="7" priority="4" stopIfTrue="1">
      <formula>AND(ROW()&lt;=6,COUNTIFS(INDIRECT("Holidays!$C$6:$C$60"),B$5,INDIRECT("Holidays!$D$6:$D$60"),"Holiday")&gt;0)</formula>
    </cfRule>
    <cfRule type="expression" dxfId="8" priority="5" stopIfTrue="1">
      <formula>COUNTIFS(INDIRECT("Holidays!$C$6:$C$60"),B$5,INDIRECT("Holidays!$D$6:$D$60"),"Holiday")&gt;0</formula>
    </cfRule>
    <cfRule type="expression" dxfId="8" priority="6" stopIfTrue="1">
      <formula>B$5=TODAY()</formula>
    </cfRule>
    <cfRule type="expression" dxfId="9" priority="7" stopIfTrue="1">
      <formula>OR(WEEKDAY(B$5)=1,WEEKDAY(B$5)=7)</formula>
    </cfRule>
  </conditionalFormatting>
  <printOptions horizontalCentered="1"/>
  <pageMargins left="0.4" right="0.4" top="0.4" bottom="0.4" header="0.3" footer="0.3"/>
  <pageSetup orientation="landscape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8" width="17.7109375" customWidth="1"/>
    <col min="9" max="9" width="2.28515625" customWidth="1"/>
    <col min="10" max="10" width="24.7109375" customWidth="1"/>
    <col min="11" max="11" width="2.28515625" customWidth="1"/>
  </cols>
  <sheetData>
    <row r="1" spans="2:10" ht="8" customHeight="1"/>
    <row r="2" spans="2:10" ht="46" customHeight="1">
      <c r="B2" s="50" t="s">
        <v>9</v>
      </c>
      <c r="C2" s="50"/>
      <c r="D2" s="50"/>
      <c r="E2" s="50"/>
      <c r="F2" s="50"/>
      <c r="G2" s="51">
        <f>CalYear</f>
        <v>0</v>
      </c>
      <c r="H2" s="51"/>
    </row>
    <row r="3" spans="2:10" ht="18" customHeight="1">
      <c r="B3" s="17" t="s">
        <v>17</v>
      </c>
      <c r="C3" s="17"/>
      <c r="D3" s="17"/>
      <c r="E3" s="17"/>
      <c r="F3" s="17"/>
      <c r="G3" s="17"/>
      <c r="H3" s="17"/>
    </row>
    <row r="4" spans="2:10" ht="22" customHeight="1">
      <c r="B4" s="52">
        <f>IF(WeekStart="Monday",CHOOSE(1,"MON","TUE","WED","THU","FRI","SAT","SUN"),CHOOSE(1,"SUN","MON","TUE","WED","THU","FRI","SAT"))</f>
        <v>0</v>
      </c>
      <c r="C4" s="52">
        <f>IF(WeekStart="Monday",CHOOSE(2,"MON","TUE","WED","THU","FRI","SAT","SUN"),CHOOSE(2,"SUN","MON","TUE","WED","THU","FRI","SAT"))</f>
        <v>0</v>
      </c>
      <c r="D4" s="52">
        <f>IF(WeekStart="Monday",CHOOSE(3,"MON","TUE","WED","THU","FRI","SAT","SUN"),CHOOSE(3,"SUN","MON","TUE","WED","THU","FRI","SAT"))</f>
        <v>0</v>
      </c>
      <c r="E4" s="52">
        <f>IF(WeekStart="Monday",CHOOSE(4,"MON","TUE","WED","THU","FRI","SAT","SUN"),CHOOSE(4,"SUN","MON","TUE","WED","THU","FRI","SAT"))</f>
        <v>0</v>
      </c>
      <c r="F4" s="52">
        <f>IF(WeekStart="Monday",CHOOSE(5,"MON","TUE","WED","THU","FRI","SAT","SUN"),CHOOSE(5,"SUN","MON","TUE","WED","THU","FRI","SAT"))</f>
        <v>0</v>
      </c>
      <c r="G4" s="52">
        <f>IF(WeekStart="Monday",CHOOSE(6,"MON","TUE","WED","THU","FRI","SAT","SUN"),CHOOSE(6,"SUN","MON","TUE","WED","THU","FRI","SAT"))</f>
        <v>0</v>
      </c>
      <c r="H4" s="52">
        <f>IF(WeekStart="Monday",CHOOSE(7,"MON","TUE","WED","THU","FRI","SAT","SUN"),CHOOSE(7,"SUN","MON","TUE","WED","THU","FRI","SAT"))</f>
        <v>0</v>
      </c>
      <c r="J4" s="53" t="s">
        <v>18</v>
      </c>
    </row>
    <row r="5" spans="2:10" ht="21" customHeight="1">
      <c r="B5" s="20">
        <f>DATE(CalYear,6,1)-WEEKDAY(DATE(CalYear,6,1),IF(WeekStart="Monday",2,1))+1</f>
        <v>0</v>
      </c>
      <c r="C5" s="20">
        <f>B5+1</f>
        <v>0</v>
      </c>
      <c r="D5" s="20">
        <f>C5+1</f>
        <v>0</v>
      </c>
      <c r="E5" s="20">
        <f>D5+1</f>
        <v>0</v>
      </c>
      <c r="F5" s="20">
        <f>E5+1</f>
        <v>0</v>
      </c>
      <c r="G5" s="20">
        <f>F5+1</f>
        <v>0</v>
      </c>
      <c r="H5" s="21">
        <f>G5+1</f>
        <v>0</v>
      </c>
      <c r="J5" s="22">
        <f>"WEEK "&amp;TEXT(_xlfn.ISOWEEKNUM(B5+3),"00")</f>
        <v>0</v>
      </c>
    </row>
    <row r="6" spans="2:10" ht="12" customHeight="1">
      <c r="B6" s="23">
        <f>IFERROR(INDEX(Holidays!$B$6:$B$60,MATCH(B5,Holidays!$C$6:$C$60,0)),"")</f>
        <v>0</v>
      </c>
      <c r="C6" s="23">
        <f>IFERROR(INDEX(Holidays!$B$6:$B$60,MATCH(C5,Holidays!$C$6:$C$60,0)),"")</f>
        <v>0</v>
      </c>
      <c r="D6" s="23">
        <f>IFERROR(INDEX(Holidays!$B$6:$B$60,MATCH(D5,Holidays!$C$6:$C$60,0)),"")</f>
        <v>0</v>
      </c>
      <c r="E6" s="23">
        <f>IFERROR(INDEX(Holidays!$B$6:$B$60,MATCH(E5,Holidays!$C$6:$C$60,0)),"")</f>
        <v>0</v>
      </c>
      <c r="F6" s="23">
        <f>IFERROR(INDEX(Holidays!$B$6:$B$60,MATCH(F5,Holidays!$C$6:$C$60,0)),"")</f>
        <v>0</v>
      </c>
      <c r="G6" s="23">
        <f>IFERROR(INDEX(Holidays!$B$6:$B$60,MATCH(G5,Holidays!$C$6:$C$60,0)),"")</f>
        <v>0</v>
      </c>
      <c r="H6" s="24">
        <f>IFERROR(INDEX(Holidays!$B$6:$B$60,MATCH(H5,Holidays!$C$6:$C$60,0)),"")</f>
        <v>0</v>
      </c>
      <c r="J6" s="25"/>
    </row>
    <row r="7" spans="2:10" ht="18" customHeight="1">
      <c r="B7" s="26"/>
      <c r="C7" s="26"/>
      <c r="D7" s="26"/>
      <c r="E7" s="26"/>
      <c r="F7" s="26"/>
      <c r="G7" s="26"/>
      <c r="H7" s="27"/>
      <c r="J7" s="25"/>
    </row>
    <row r="8" spans="2:10" ht="18" customHeight="1">
      <c r="B8" s="26"/>
      <c r="C8" s="26"/>
      <c r="D8" s="26"/>
      <c r="E8" s="26"/>
      <c r="F8" s="26"/>
      <c r="G8" s="26"/>
      <c r="H8" s="27"/>
      <c r="J8" s="25"/>
    </row>
    <row r="9" spans="2:10" ht="18" customHeight="1">
      <c r="B9" s="28"/>
      <c r="C9" s="28"/>
      <c r="D9" s="28"/>
      <c r="E9" s="28"/>
      <c r="F9" s="28"/>
      <c r="G9" s="28"/>
      <c r="H9" s="29"/>
      <c r="J9" s="25"/>
    </row>
    <row r="10" spans="2:10" ht="21" customHeight="1">
      <c r="B10" s="20">
        <f>H5+1</f>
        <v>0</v>
      </c>
      <c r="C10" s="20">
        <f>B10+1</f>
        <v>0</v>
      </c>
      <c r="D10" s="20">
        <f>C10+1</f>
        <v>0</v>
      </c>
      <c r="E10" s="20">
        <f>D10+1</f>
        <v>0</v>
      </c>
      <c r="F10" s="20">
        <f>E10+1</f>
        <v>0</v>
      </c>
      <c r="G10" s="20">
        <f>F10+1</f>
        <v>0</v>
      </c>
      <c r="H10" s="21">
        <f>G10+1</f>
        <v>0</v>
      </c>
      <c r="J10" s="22">
        <f>"WEEK "&amp;TEXT(_xlfn.ISOWEEKNUM(B10+3),"00")</f>
        <v>0</v>
      </c>
    </row>
    <row r="11" spans="2:10" ht="12" customHeight="1">
      <c r="B11" s="23">
        <f>IFERROR(INDEX(Holidays!$B$6:$B$60,MATCH(B10,Holidays!$C$6:$C$60,0)),"")</f>
        <v>0</v>
      </c>
      <c r="C11" s="23">
        <f>IFERROR(INDEX(Holidays!$B$6:$B$60,MATCH(C10,Holidays!$C$6:$C$60,0)),"")</f>
        <v>0</v>
      </c>
      <c r="D11" s="23">
        <f>IFERROR(INDEX(Holidays!$B$6:$B$60,MATCH(D10,Holidays!$C$6:$C$60,0)),"")</f>
        <v>0</v>
      </c>
      <c r="E11" s="23">
        <f>IFERROR(INDEX(Holidays!$B$6:$B$60,MATCH(E10,Holidays!$C$6:$C$60,0)),"")</f>
        <v>0</v>
      </c>
      <c r="F11" s="23">
        <f>IFERROR(INDEX(Holidays!$B$6:$B$60,MATCH(F10,Holidays!$C$6:$C$60,0)),"")</f>
        <v>0</v>
      </c>
      <c r="G11" s="23">
        <f>IFERROR(INDEX(Holidays!$B$6:$B$60,MATCH(G10,Holidays!$C$6:$C$60,0)),"")</f>
        <v>0</v>
      </c>
      <c r="H11" s="24">
        <f>IFERROR(INDEX(Holidays!$B$6:$B$60,MATCH(H10,Holidays!$C$6:$C$60,0)),"")</f>
        <v>0</v>
      </c>
      <c r="J11" s="25"/>
    </row>
    <row r="12" spans="2:10" ht="18" customHeight="1">
      <c r="B12" s="26"/>
      <c r="C12" s="26"/>
      <c r="D12" s="26"/>
      <c r="E12" s="26"/>
      <c r="F12" s="26"/>
      <c r="G12" s="26"/>
      <c r="H12" s="27"/>
      <c r="J12" s="25"/>
    </row>
    <row r="13" spans="2:10" ht="18" customHeight="1">
      <c r="B13" s="26"/>
      <c r="C13" s="26"/>
      <c r="D13" s="26"/>
      <c r="E13" s="26"/>
      <c r="F13" s="26"/>
      <c r="G13" s="26"/>
      <c r="H13" s="27"/>
      <c r="J13" s="25"/>
    </row>
    <row r="14" spans="2:10" ht="18" customHeight="1">
      <c r="B14" s="28"/>
      <c r="C14" s="28"/>
      <c r="D14" s="28"/>
      <c r="E14" s="28"/>
      <c r="F14" s="28"/>
      <c r="G14" s="28"/>
      <c r="H14" s="29"/>
      <c r="J14" s="25"/>
    </row>
    <row r="15" spans="2:10" ht="21" customHeight="1">
      <c r="B15" s="20">
        <f>H10+1</f>
        <v>0</v>
      </c>
      <c r="C15" s="20">
        <f>B15+1</f>
        <v>0</v>
      </c>
      <c r="D15" s="20">
        <f>C15+1</f>
        <v>0</v>
      </c>
      <c r="E15" s="20">
        <f>D15+1</f>
        <v>0</v>
      </c>
      <c r="F15" s="20">
        <f>E15+1</f>
        <v>0</v>
      </c>
      <c r="G15" s="20">
        <f>F15+1</f>
        <v>0</v>
      </c>
      <c r="H15" s="21">
        <f>G15+1</f>
        <v>0</v>
      </c>
      <c r="J15" s="22">
        <f>"WEEK "&amp;TEXT(_xlfn.ISOWEEKNUM(B15+3),"00")</f>
        <v>0</v>
      </c>
    </row>
    <row r="16" spans="2:10" ht="12" customHeight="1">
      <c r="B16" s="23">
        <f>IFERROR(INDEX(Holidays!$B$6:$B$60,MATCH(B15,Holidays!$C$6:$C$60,0)),"")</f>
        <v>0</v>
      </c>
      <c r="C16" s="23">
        <f>IFERROR(INDEX(Holidays!$B$6:$B$60,MATCH(C15,Holidays!$C$6:$C$60,0)),"")</f>
        <v>0</v>
      </c>
      <c r="D16" s="23">
        <f>IFERROR(INDEX(Holidays!$B$6:$B$60,MATCH(D15,Holidays!$C$6:$C$60,0)),"")</f>
        <v>0</v>
      </c>
      <c r="E16" s="23">
        <f>IFERROR(INDEX(Holidays!$B$6:$B$60,MATCH(E15,Holidays!$C$6:$C$60,0)),"")</f>
        <v>0</v>
      </c>
      <c r="F16" s="23">
        <f>IFERROR(INDEX(Holidays!$B$6:$B$60,MATCH(F15,Holidays!$C$6:$C$60,0)),"")</f>
        <v>0</v>
      </c>
      <c r="G16" s="23">
        <f>IFERROR(INDEX(Holidays!$B$6:$B$60,MATCH(G15,Holidays!$C$6:$C$60,0)),"")</f>
        <v>0</v>
      </c>
      <c r="H16" s="24">
        <f>IFERROR(INDEX(Holidays!$B$6:$B$60,MATCH(H15,Holidays!$C$6:$C$60,0)),"")</f>
        <v>0</v>
      </c>
      <c r="J16" s="25"/>
    </row>
    <row r="17" spans="2:10" ht="18" customHeight="1">
      <c r="B17" s="26"/>
      <c r="C17" s="26"/>
      <c r="D17" s="26"/>
      <c r="E17" s="26"/>
      <c r="F17" s="26"/>
      <c r="G17" s="26"/>
      <c r="H17" s="27"/>
      <c r="J17" s="25"/>
    </row>
    <row r="18" spans="2:10" ht="18" customHeight="1">
      <c r="B18" s="26"/>
      <c r="C18" s="26"/>
      <c r="D18" s="26"/>
      <c r="E18" s="26"/>
      <c r="F18" s="26"/>
      <c r="G18" s="26"/>
      <c r="H18" s="27"/>
      <c r="J18" s="25"/>
    </row>
    <row r="19" spans="2:10" ht="18" customHeight="1">
      <c r="B19" s="28"/>
      <c r="C19" s="28"/>
      <c r="D19" s="28"/>
      <c r="E19" s="28"/>
      <c r="F19" s="28"/>
      <c r="G19" s="28"/>
      <c r="H19" s="29"/>
      <c r="J19" s="25"/>
    </row>
    <row r="20" spans="2:10" ht="21" customHeight="1">
      <c r="B20" s="20">
        <f>H15+1</f>
        <v>0</v>
      </c>
      <c r="C20" s="20">
        <f>B20+1</f>
        <v>0</v>
      </c>
      <c r="D20" s="20">
        <f>C20+1</f>
        <v>0</v>
      </c>
      <c r="E20" s="20">
        <f>D20+1</f>
        <v>0</v>
      </c>
      <c r="F20" s="20">
        <f>E20+1</f>
        <v>0</v>
      </c>
      <c r="G20" s="20">
        <f>F20+1</f>
        <v>0</v>
      </c>
      <c r="H20" s="21">
        <f>G20+1</f>
        <v>0</v>
      </c>
      <c r="J20" s="22">
        <f>"WEEK "&amp;TEXT(_xlfn.ISOWEEKNUM(B20+3),"00")</f>
        <v>0</v>
      </c>
    </row>
    <row r="21" spans="2:10" ht="12" customHeight="1">
      <c r="B21" s="23">
        <f>IFERROR(INDEX(Holidays!$B$6:$B$60,MATCH(B20,Holidays!$C$6:$C$60,0)),"")</f>
        <v>0</v>
      </c>
      <c r="C21" s="23">
        <f>IFERROR(INDEX(Holidays!$B$6:$B$60,MATCH(C20,Holidays!$C$6:$C$60,0)),"")</f>
        <v>0</v>
      </c>
      <c r="D21" s="23">
        <f>IFERROR(INDEX(Holidays!$B$6:$B$60,MATCH(D20,Holidays!$C$6:$C$60,0)),"")</f>
        <v>0</v>
      </c>
      <c r="E21" s="23">
        <f>IFERROR(INDEX(Holidays!$B$6:$B$60,MATCH(E20,Holidays!$C$6:$C$60,0)),"")</f>
        <v>0</v>
      </c>
      <c r="F21" s="23">
        <f>IFERROR(INDEX(Holidays!$B$6:$B$60,MATCH(F20,Holidays!$C$6:$C$60,0)),"")</f>
        <v>0</v>
      </c>
      <c r="G21" s="23">
        <f>IFERROR(INDEX(Holidays!$B$6:$B$60,MATCH(G20,Holidays!$C$6:$C$60,0)),"")</f>
        <v>0</v>
      </c>
      <c r="H21" s="24">
        <f>IFERROR(INDEX(Holidays!$B$6:$B$60,MATCH(H20,Holidays!$C$6:$C$60,0)),"")</f>
        <v>0</v>
      </c>
      <c r="J21" s="25"/>
    </row>
    <row r="22" spans="2:10" ht="18" customHeight="1">
      <c r="B22" s="26"/>
      <c r="C22" s="26"/>
      <c r="D22" s="26"/>
      <c r="E22" s="26"/>
      <c r="F22" s="26"/>
      <c r="G22" s="26"/>
      <c r="H22" s="27"/>
      <c r="J22" s="25"/>
    </row>
    <row r="23" spans="2:10" ht="18" customHeight="1">
      <c r="B23" s="26"/>
      <c r="C23" s="26"/>
      <c r="D23" s="26"/>
      <c r="E23" s="26"/>
      <c r="F23" s="26"/>
      <c r="G23" s="26"/>
      <c r="H23" s="27"/>
      <c r="J23" s="25"/>
    </row>
    <row r="24" spans="2:10" ht="18" customHeight="1">
      <c r="B24" s="28"/>
      <c r="C24" s="28"/>
      <c r="D24" s="28"/>
      <c r="E24" s="28"/>
      <c r="F24" s="28"/>
      <c r="G24" s="28"/>
      <c r="H24" s="29"/>
      <c r="J24" s="25"/>
    </row>
    <row r="25" spans="2:10" ht="21" customHeight="1">
      <c r="B25" s="20">
        <f>H20+1</f>
        <v>0</v>
      </c>
      <c r="C25" s="20">
        <f>B25+1</f>
        <v>0</v>
      </c>
      <c r="D25" s="20">
        <f>C25+1</f>
        <v>0</v>
      </c>
      <c r="E25" s="20">
        <f>D25+1</f>
        <v>0</v>
      </c>
      <c r="F25" s="20">
        <f>E25+1</f>
        <v>0</v>
      </c>
      <c r="G25" s="20">
        <f>F25+1</f>
        <v>0</v>
      </c>
      <c r="H25" s="21">
        <f>G25+1</f>
        <v>0</v>
      </c>
      <c r="J25" s="22">
        <f>"WEEK "&amp;TEXT(_xlfn.ISOWEEKNUM(B25+3),"00")</f>
        <v>0</v>
      </c>
    </row>
    <row r="26" spans="2:10" ht="12" customHeight="1">
      <c r="B26" s="23">
        <f>IFERROR(INDEX(Holidays!$B$6:$B$60,MATCH(B25,Holidays!$C$6:$C$60,0)),"")</f>
        <v>0</v>
      </c>
      <c r="C26" s="23">
        <f>IFERROR(INDEX(Holidays!$B$6:$B$60,MATCH(C25,Holidays!$C$6:$C$60,0)),"")</f>
        <v>0</v>
      </c>
      <c r="D26" s="23">
        <f>IFERROR(INDEX(Holidays!$B$6:$B$60,MATCH(D25,Holidays!$C$6:$C$60,0)),"")</f>
        <v>0</v>
      </c>
      <c r="E26" s="23">
        <f>IFERROR(INDEX(Holidays!$B$6:$B$60,MATCH(E25,Holidays!$C$6:$C$60,0)),"")</f>
        <v>0</v>
      </c>
      <c r="F26" s="23">
        <f>IFERROR(INDEX(Holidays!$B$6:$B$60,MATCH(F25,Holidays!$C$6:$C$60,0)),"")</f>
        <v>0</v>
      </c>
      <c r="G26" s="23">
        <f>IFERROR(INDEX(Holidays!$B$6:$B$60,MATCH(G25,Holidays!$C$6:$C$60,0)),"")</f>
        <v>0</v>
      </c>
      <c r="H26" s="24">
        <f>IFERROR(INDEX(Holidays!$B$6:$B$60,MATCH(H25,Holidays!$C$6:$C$60,0)),"")</f>
        <v>0</v>
      </c>
      <c r="J26" s="25"/>
    </row>
    <row r="27" spans="2:10" ht="18" customHeight="1">
      <c r="B27" s="26"/>
      <c r="C27" s="26"/>
      <c r="D27" s="26"/>
      <c r="E27" s="26"/>
      <c r="F27" s="26"/>
      <c r="G27" s="26"/>
      <c r="H27" s="27"/>
      <c r="J27" s="25"/>
    </row>
    <row r="28" spans="2:10" ht="18" customHeight="1">
      <c r="B28" s="26"/>
      <c r="C28" s="26"/>
      <c r="D28" s="26"/>
      <c r="E28" s="26"/>
      <c r="F28" s="26"/>
      <c r="G28" s="26"/>
      <c r="H28" s="27"/>
      <c r="J28" s="25"/>
    </row>
    <row r="29" spans="2:10" ht="18" customHeight="1">
      <c r="B29" s="28"/>
      <c r="C29" s="28"/>
      <c r="D29" s="28"/>
      <c r="E29" s="28"/>
      <c r="F29" s="28"/>
      <c r="G29" s="28"/>
      <c r="H29" s="29"/>
      <c r="J29" s="25"/>
    </row>
    <row r="30" spans="2:10" ht="21" customHeight="1">
      <c r="B30" s="20">
        <f>H25+1</f>
        <v>0</v>
      </c>
      <c r="C30" s="20">
        <f>B30+1</f>
        <v>0</v>
      </c>
      <c r="D30" s="20">
        <f>C30+1</f>
        <v>0</v>
      </c>
      <c r="E30" s="20">
        <f>D30+1</f>
        <v>0</v>
      </c>
      <c r="F30" s="20">
        <f>E30+1</f>
        <v>0</v>
      </c>
      <c r="G30" s="20">
        <f>F30+1</f>
        <v>0</v>
      </c>
      <c r="H30" s="21">
        <f>G30+1</f>
        <v>0</v>
      </c>
      <c r="J30" s="22">
        <f>"WEEK "&amp;TEXT(_xlfn.ISOWEEKNUM(B30+3),"00")</f>
        <v>0</v>
      </c>
    </row>
    <row r="31" spans="2:10" ht="12" customHeight="1">
      <c r="B31" s="23">
        <f>IFERROR(INDEX(Holidays!$B$6:$B$60,MATCH(B30,Holidays!$C$6:$C$60,0)),"")</f>
        <v>0</v>
      </c>
      <c r="C31" s="23">
        <f>IFERROR(INDEX(Holidays!$B$6:$B$60,MATCH(C30,Holidays!$C$6:$C$60,0)),"")</f>
        <v>0</v>
      </c>
      <c r="D31" s="23">
        <f>IFERROR(INDEX(Holidays!$B$6:$B$60,MATCH(D30,Holidays!$C$6:$C$60,0)),"")</f>
        <v>0</v>
      </c>
      <c r="E31" s="23">
        <f>IFERROR(INDEX(Holidays!$B$6:$B$60,MATCH(E30,Holidays!$C$6:$C$60,0)),"")</f>
        <v>0</v>
      </c>
      <c r="F31" s="23">
        <f>IFERROR(INDEX(Holidays!$B$6:$B$60,MATCH(F30,Holidays!$C$6:$C$60,0)),"")</f>
        <v>0</v>
      </c>
      <c r="G31" s="23">
        <f>IFERROR(INDEX(Holidays!$B$6:$B$60,MATCH(G30,Holidays!$C$6:$C$60,0)),"")</f>
        <v>0</v>
      </c>
      <c r="H31" s="24">
        <f>IFERROR(INDEX(Holidays!$B$6:$B$60,MATCH(H30,Holidays!$C$6:$C$60,0)),"")</f>
        <v>0</v>
      </c>
      <c r="J31" s="30"/>
    </row>
    <row r="32" spans="2:10" ht="18" customHeight="1">
      <c r="B32" s="26"/>
      <c r="C32" s="26"/>
      <c r="D32" s="26"/>
      <c r="E32" s="26"/>
      <c r="F32" s="26"/>
      <c r="G32" s="26"/>
      <c r="H32" s="27"/>
      <c r="J32" s="30"/>
    </row>
    <row r="33" spans="2:10" ht="18" customHeight="1">
      <c r="B33" s="26"/>
      <c r="C33" s="26"/>
      <c r="D33" s="26"/>
      <c r="E33" s="26"/>
      <c r="F33" s="26"/>
      <c r="G33" s="26"/>
      <c r="H33" s="27"/>
      <c r="J33" s="30"/>
    </row>
    <row r="34" spans="2:10" ht="18" customHeight="1">
      <c r="B34" s="31"/>
      <c r="C34" s="31"/>
      <c r="D34" s="31"/>
      <c r="E34" s="31"/>
      <c r="F34" s="31"/>
      <c r="G34" s="31"/>
      <c r="H34" s="32"/>
      <c r="J34" s="30"/>
    </row>
    <row r="35" spans="2:10" ht="16" customHeight="1">
      <c r="B35" s="33" t="s">
        <v>19</v>
      </c>
      <c r="C35" s="33"/>
      <c r="D35" s="33"/>
      <c r="E35" s="33"/>
      <c r="F35" s="33"/>
      <c r="G35" s="33"/>
      <c r="H35" s="33"/>
      <c r="I35" s="33"/>
      <c r="J35" s="33"/>
    </row>
  </sheetData>
  <mergeCells count="10">
    <mergeCell ref="B2:F2"/>
    <mergeCell ref="G2:H2"/>
    <mergeCell ref="B3:H3"/>
    <mergeCell ref="J6:J9"/>
    <mergeCell ref="J11:J14"/>
    <mergeCell ref="J16:J19"/>
    <mergeCell ref="J21:J24"/>
    <mergeCell ref="J26:J29"/>
    <mergeCell ref="J31:J34"/>
    <mergeCell ref="B35:J35"/>
  </mergeCells>
  <conditionalFormatting sqref="B10:H14">
    <cfRule type="expression" dxfId="4" priority="8" stopIfTrue="1">
      <formula>AND(ROW()=10,B$10=TODAY())</formula>
    </cfRule>
    <cfRule type="expression" dxfId="5" priority="9" stopIfTrue="1">
      <formula>AND(NOT(MONTH(B$10)=6),OR(WEEKDAY(B$10)=1,WEEKDAY(B$10)=7))</formula>
    </cfRule>
    <cfRule type="expression" dxfId="6" priority="10" stopIfTrue="1">
      <formula>NOT(MONTH(B$10)=6)</formula>
    </cfRule>
    <cfRule type="expression" dxfId="7" priority="11" stopIfTrue="1">
      <formula>AND(ROW()&lt;=11,COUNTIFS(INDIRECT("Holidays!$C$6:$C$60"),B$10,INDIRECT("Holidays!$D$6:$D$60"),"Holiday")&gt;0)</formula>
    </cfRule>
    <cfRule type="expression" dxfId="8" priority="12" stopIfTrue="1">
      <formula>COUNTIFS(INDIRECT("Holidays!$C$6:$C$60"),B$10,INDIRECT("Holidays!$D$6:$D$60"),"Holiday")&gt;0</formula>
    </cfRule>
    <cfRule type="expression" dxfId="8" priority="13" stopIfTrue="1">
      <formula>B$10=TODAY()</formula>
    </cfRule>
    <cfRule type="expression" dxfId="9" priority="14" stopIfTrue="1">
      <formula>OR(WEEKDAY(B$10)=1,WEEKDAY(B$10)=7)</formula>
    </cfRule>
  </conditionalFormatting>
  <conditionalFormatting sqref="B15:H19">
    <cfRule type="expression" dxfId="4" priority="15" stopIfTrue="1">
      <formula>AND(ROW()=15,B$15=TODAY())</formula>
    </cfRule>
    <cfRule type="expression" dxfId="5" priority="16" stopIfTrue="1">
      <formula>AND(NOT(MONTH(B$15)=6),OR(WEEKDAY(B$15)=1,WEEKDAY(B$15)=7))</formula>
    </cfRule>
    <cfRule type="expression" dxfId="6" priority="17" stopIfTrue="1">
      <formula>NOT(MONTH(B$15)=6)</formula>
    </cfRule>
    <cfRule type="expression" dxfId="7" priority="18" stopIfTrue="1">
      <formula>AND(ROW()&lt;=16,COUNTIFS(INDIRECT("Holidays!$C$6:$C$60"),B$15,INDIRECT("Holidays!$D$6:$D$60"),"Holiday")&gt;0)</formula>
    </cfRule>
    <cfRule type="expression" dxfId="8" priority="19" stopIfTrue="1">
      <formula>COUNTIFS(INDIRECT("Holidays!$C$6:$C$60"),B$15,INDIRECT("Holidays!$D$6:$D$60"),"Holiday")&gt;0</formula>
    </cfRule>
    <cfRule type="expression" dxfId="8" priority="20" stopIfTrue="1">
      <formula>B$15=TODAY()</formula>
    </cfRule>
    <cfRule type="expression" dxfId="9" priority="21" stopIfTrue="1">
      <formula>OR(WEEKDAY(B$15)=1,WEEKDAY(B$15)=7)</formula>
    </cfRule>
  </conditionalFormatting>
  <conditionalFormatting sqref="B20:H24">
    <cfRule type="expression" dxfId="4" priority="22" stopIfTrue="1">
      <formula>AND(ROW()=20,B$20=TODAY())</formula>
    </cfRule>
    <cfRule type="expression" dxfId="5" priority="23" stopIfTrue="1">
      <formula>AND(NOT(MONTH(B$20)=6),OR(WEEKDAY(B$20)=1,WEEKDAY(B$20)=7))</formula>
    </cfRule>
    <cfRule type="expression" dxfId="6" priority="24" stopIfTrue="1">
      <formula>NOT(MONTH(B$20)=6)</formula>
    </cfRule>
    <cfRule type="expression" dxfId="7" priority="25" stopIfTrue="1">
      <formula>AND(ROW()&lt;=21,COUNTIFS(INDIRECT("Holidays!$C$6:$C$60"),B$20,INDIRECT("Holidays!$D$6:$D$60"),"Holiday")&gt;0)</formula>
    </cfRule>
    <cfRule type="expression" dxfId="8" priority="26" stopIfTrue="1">
      <formula>COUNTIFS(INDIRECT("Holidays!$C$6:$C$60"),B$20,INDIRECT("Holidays!$D$6:$D$60"),"Holiday")&gt;0</formula>
    </cfRule>
    <cfRule type="expression" dxfId="8" priority="27" stopIfTrue="1">
      <formula>B$20=TODAY()</formula>
    </cfRule>
    <cfRule type="expression" dxfId="9" priority="28" stopIfTrue="1">
      <formula>OR(WEEKDAY(B$20)=1,WEEKDAY(B$20)=7)</formula>
    </cfRule>
  </conditionalFormatting>
  <conditionalFormatting sqref="B25:H29">
    <cfRule type="expression" dxfId="4" priority="29" stopIfTrue="1">
      <formula>AND(ROW()=25,B$25=TODAY())</formula>
    </cfRule>
    <cfRule type="expression" dxfId="5" priority="30" stopIfTrue="1">
      <formula>AND(NOT(MONTH(B$25)=6),OR(WEEKDAY(B$25)=1,WEEKDAY(B$25)=7))</formula>
    </cfRule>
    <cfRule type="expression" dxfId="6" priority="31" stopIfTrue="1">
      <formula>NOT(MONTH(B$25)=6)</formula>
    </cfRule>
    <cfRule type="expression" dxfId="7" priority="32" stopIfTrue="1">
      <formula>AND(ROW()&lt;=26,COUNTIFS(INDIRECT("Holidays!$C$6:$C$60"),B$25,INDIRECT("Holidays!$D$6:$D$60"),"Holiday")&gt;0)</formula>
    </cfRule>
    <cfRule type="expression" dxfId="8" priority="33" stopIfTrue="1">
      <formula>COUNTIFS(INDIRECT("Holidays!$C$6:$C$60"),B$25,INDIRECT("Holidays!$D$6:$D$60"),"Holiday")&gt;0</formula>
    </cfRule>
    <cfRule type="expression" dxfId="8" priority="34" stopIfTrue="1">
      <formula>B$25=TODAY()</formula>
    </cfRule>
    <cfRule type="expression" dxfId="9" priority="35" stopIfTrue="1">
      <formula>OR(WEEKDAY(B$25)=1,WEEKDAY(B$25)=7)</formula>
    </cfRule>
  </conditionalFormatting>
  <conditionalFormatting sqref="B30:H34">
    <cfRule type="expression" dxfId="4" priority="36" stopIfTrue="1">
      <formula>AND(ROW()=30,B$30=TODAY())</formula>
    </cfRule>
    <cfRule type="expression" dxfId="5" priority="37" stopIfTrue="1">
      <formula>AND(NOT(MONTH(B$30)=6),OR(WEEKDAY(B$30)=1,WEEKDAY(B$30)=7))</formula>
    </cfRule>
    <cfRule type="expression" dxfId="6" priority="38" stopIfTrue="1">
      <formula>NOT(MONTH(B$30)=6)</formula>
    </cfRule>
    <cfRule type="expression" dxfId="7" priority="39" stopIfTrue="1">
      <formula>AND(ROW()&lt;=31,COUNTIFS(INDIRECT("Holidays!$C$6:$C$60"),B$30,INDIRECT("Holidays!$D$6:$D$60"),"Holiday")&gt;0)</formula>
    </cfRule>
    <cfRule type="expression" dxfId="8" priority="40" stopIfTrue="1">
      <formula>COUNTIFS(INDIRECT("Holidays!$C$6:$C$60"),B$30,INDIRECT("Holidays!$D$6:$D$60"),"Holiday")&gt;0</formula>
    </cfRule>
    <cfRule type="expression" dxfId="8" priority="41" stopIfTrue="1">
      <formula>B$30=TODAY()</formula>
    </cfRule>
    <cfRule type="expression" dxfId="9" priority="42" stopIfTrue="1">
      <formula>OR(WEEKDAY(B$30)=1,WEEKDAY(B$30)=7)</formula>
    </cfRule>
  </conditionalFormatting>
  <conditionalFormatting sqref="B5:H9">
    <cfRule type="expression" dxfId="4" priority="1" stopIfTrue="1">
      <formula>AND(ROW()=5,B$5=TODAY())</formula>
    </cfRule>
    <cfRule type="expression" dxfId="5" priority="2" stopIfTrue="1">
      <formula>AND(NOT(MONTH(B$5)=6),OR(WEEKDAY(B$5)=1,WEEKDAY(B$5)=7))</formula>
    </cfRule>
    <cfRule type="expression" dxfId="6" priority="3" stopIfTrue="1">
      <formula>NOT(MONTH(B$5)=6)</formula>
    </cfRule>
    <cfRule type="expression" dxfId="7" priority="4" stopIfTrue="1">
      <formula>AND(ROW()&lt;=6,COUNTIFS(INDIRECT("Holidays!$C$6:$C$60"),B$5,INDIRECT("Holidays!$D$6:$D$60"),"Holiday")&gt;0)</formula>
    </cfRule>
    <cfRule type="expression" dxfId="8" priority="5" stopIfTrue="1">
      <formula>COUNTIFS(INDIRECT("Holidays!$C$6:$C$60"),B$5,INDIRECT("Holidays!$D$6:$D$60"),"Holiday")&gt;0</formula>
    </cfRule>
    <cfRule type="expression" dxfId="8" priority="6" stopIfTrue="1">
      <formula>B$5=TODAY()</formula>
    </cfRule>
    <cfRule type="expression" dxfId="9" priority="7" stopIfTrue="1">
      <formula>OR(WEEKDAY(B$5)=1,WEEKDAY(B$5)=7)</formula>
    </cfRule>
  </conditionalFormatting>
  <printOptions horizontalCentered="1"/>
  <pageMargins left="0.4" right="0.4" top="0.4" bottom="0.4" header="0.3" footer="0.3"/>
  <pageSetup orientation="landscape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8" width="17.7109375" customWidth="1"/>
    <col min="9" max="9" width="2.28515625" customWidth="1"/>
    <col min="10" max="10" width="24.7109375" customWidth="1"/>
    <col min="11" max="11" width="2.28515625" customWidth="1"/>
  </cols>
  <sheetData>
    <row r="1" spans="2:10" ht="8" customHeight="1"/>
    <row r="2" spans="2:10" ht="46" customHeight="1">
      <c r="B2" s="15" t="s">
        <v>10</v>
      </c>
      <c r="C2" s="15"/>
      <c r="D2" s="15"/>
      <c r="E2" s="15"/>
      <c r="F2" s="15"/>
      <c r="G2" s="16">
        <f>CalYear</f>
        <v>0</v>
      </c>
      <c r="H2" s="16"/>
    </row>
    <row r="3" spans="2:10" ht="18" customHeight="1">
      <c r="B3" s="17" t="s">
        <v>17</v>
      </c>
      <c r="C3" s="17"/>
      <c r="D3" s="17"/>
      <c r="E3" s="17"/>
      <c r="F3" s="17"/>
      <c r="G3" s="17"/>
      <c r="H3" s="17"/>
    </row>
    <row r="4" spans="2:10" ht="22" customHeight="1">
      <c r="B4" s="18">
        <f>IF(WeekStart="Monday",CHOOSE(1,"MON","TUE","WED","THU","FRI","SAT","SUN"),CHOOSE(1,"SUN","MON","TUE","WED","THU","FRI","SAT"))</f>
        <v>0</v>
      </c>
      <c r="C4" s="18">
        <f>IF(WeekStart="Monday",CHOOSE(2,"MON","TUE","WED","THU","FRI","SAT","SUN"),CHOOSE(2,"SUN","MON","TUE","WED","THU","FRI","SAT"))</f>
        <v>0</v>
      </c>
      <c r="D4" s="18">
        <f>IF(WeekStart="Monday",CHOOSE(3,"MON","TUE","WED","THU","FRI","SAT","SUN"),CHOOSE(3,"SUN","MON","TUE","WED","THU","FRI","SAT"))</f>
        <v>0</v>
      </c>
      <c r="E4" s="18">
        <f>IF(WeekStart="Monday",CHOOSE(4,"MON","TUE","WED","THU","FRI","SAT","SUN"),CHOOSE(4,"SUN","MON","TUE","WED","THU","FRI","SAT"))</f>
        <v>0</v>
      </c>
      <c r="F4" s="18">
        <f>IF(WeekStart="Monday",CHOOSE(5,"MON","TUE","WED","THU","FRI","SAT","SUN"),CHOOSE(5,"SUN","MON","TUE","WED","THU","FRI","SAT"))</f>
        <v>0</v>
      </c>
      <c r="G4" s="18">
        <f>IF(WeekStart="Monday",CHOOSE(6,"MON","TUE","WED","THU","FRI","SAT","SUN"),CHOOSE(6,"SUN","MON","TUE","WED","THU","FRI","SAT"))</f>
        <v>0</v>
      </c>
      <c r="H4" s="18">
        <f>IF(WeekStart="Monday",CHOOSE(7,"MON","TUE","WED","THU","FRI","SAT","SUN"),CHOOSE(7,"SUN","MON","TUE","WED","THU","FRI","SAT"))</f>
        <v>0</v>
      </c>
      <c r="J4" s="19" t="s">
        <v>18</v>
      </c>
    </row>
    <row r="5" spans="2:10" ht="21" customHeight="1">
      <c r="B5" s="20">
        <f>DATE(CalYear,7,1)-WEEKDAY(DATE(CalYear,7,1),IF(WeekStart="Monday",2,1))+1</f>
        <v>0</v>
      </c>
      <c r="C5" s="20">
        <f>B5+1</f>
        <v>0</v>
      </c>
      <c r="D5" s="20">
        <f>C5+1</f>
        <v>0</v>
      </c>
      <c r="E5" s="20">
        <f>D5+1</f>
        <v>0</v>
      </c>
      <c r="F5" s="20">
        <f>E5+1</f>
        <v>0</v>
      </c>
      <c r="G5" s="20">
        <f>F5+1</f>
        <v>0</v>
      </c>
      <c r="H5" s="21">
        <f>G5+1</f>
        <v>0</v>
      </c>
      <c r="J5" s="22">
        <f>"WEEK "&amp;TEXT(_xlfn.ISOWEEKNUM(B5+3),"00")</f>
        <v>0</v>
      </c>
    </row>
    <row r="6" spans="2:10" ht="12" customHeight="1">
      <c r="B6" s="23">
        <f>IFERROR(INDEX(Holidays!$B$6:$B$60,MATCH(B5,Holidays!$C$6:$C$60,0)),"")</f>
        <v>0</v>
      </c>
      <c r="C6" s="23">
        <f>IFERROR(INDEX(Holidays!$B$6:$B$60,MATCH(C5,Holidays!$C$6:$C$60,0)),"")</f>
        <v>0</v>
      </c>
      <c r="D6" s="23">
        <f>IFERROR(INDEX(Holidays!$B$6:$B$60,MATCH(D5,Holidays!$C$6:$C$60,0)),"")</f>
        <v>0</v>
      </c>
      <c r="E6" s="23">
        <f>IFERROR(INDEX(Holidays!$B$6:$B$60,MATCH(E5,Holidays!$C$6:$C$60,0)),"")</f>
        <v>0</v>
      </c>
      <c r="F6" s="23">
        <f>IFERROR(INDEX(Holidays!$B$6:$B$60,MATCH(F5,Holidays!$C$6:$C$60,0)),"")</f>
        <v>0</v>
      </c>
      <c r="G6" s="23">
        <f>IFERROR(INDEX(Holidays!$B$6:$B$60,MATCH(G5,Holidays!$C$6:$C$60,0)),"")</f>
        <v>0</v>
      </c>
      <c r="H6" s="24">
        <f>IFERROR(INDEX(Holidays!$B$6:$B$60,MATCH(H5,Holidays!$C$6:$C$60,0)),"")</f>
        <v>0</v>
      </c>
      <c r="J6" s="25"/>
    </row>
    <row r="7" spans="2:10" ht="18" customHeight="1">
      <c r="B7" s="26"/>
      <c r="C7" s="26"/>
      <c r="D7" s="26"/>
      <c r="E7" s="26"/>
      <c r="F7" s="26"/>
      <c r="G7" s="26"/>
      <c r="H7" s="27"/>
      <c r="J7" s="25"/>
    </row>
    <row r="8" spans="2:10" ht="18" customHeight="1">
      <c r="B8" s="26"/>
      <c r="C8" s="26"/>
      <c r="D8" s="26"/>
      <c r="E8" s="26"/>
      <c r="F8" s="26"/>
      <c r="G8" s="26"/>
      <c r="H8" s="27"/>
      <c r="J8" s="25"/>
    </row>
    <row r="9" spans="2:10" ht="18" customHeight="1">
      <c r="B9" s="28"/>
      <c r="C9" s="28"/>
      <c r="D9" s="28"/>
      <c r="E9" s="28"/>
      <c r="F9" s="28"/>
      <c r="G9" s="28"/>
      <c r="H9" s="29"/>
      <c r="J9" s="25"/>
    </row>
    <row r="10" spans="2:10" ht="21" customHeight="1">
      <c r="B10" s="20">
        <f>H5+1</f>
        <v>0</v>
      </c>
      <c r="C10" s="20">
        <f>B10+1</f>
        <v>0</v>
      </c>
      <c r="D10" s="20">
        <f>C10+1</f>
        <v>0</v>
      </c>
      <c r="E10" s="20">
        <f>D10+1</f>
        <v>0</v>
      </c>
      <c r="F10" s="20">
        <f>E10+1</f>
        <v>0</v>
      </c>
      <c r="G10" s="20">
        <f>F10+1</f>
        <v>0</v>
      </c>
      <c r="H10" s="21">
        <f>G10+1</f>
        <v>0</v>
      </c>
      <c r="J10" s="22">
        <f>"WEEK "&amp;TEXT(_xlfn.ISOWEEKNUM(B10+3),"00")</f>
        <v>0</v>
      </c>
    </row>
    <row r="11" spans="2:10" ht="12" customHeight="1">
      <c r="B11" s="23">
        <f>IFERROR(INDEX(Holidays!$B$6:$B$60,MATCH(B10,Holidays!$C$6:$C$60,0)),"")</f>
        <v>0</v>
      </c>
      <c r="C11" s="23">
        <f>IFERROR(INDEX(Holidays!$B$6:$B$60,MATCH(C10,Holidays!$C$6:$C$60,0)),"")</f>
        <v>0</v>
      </c>
      <c r="D11" s="23">
        <f>IFERROR(INDEX(Holidays!$B$6:$B$60,MATCH(D10,Holidays!$C$6:$C$60,0)),"")</f>
        <v>0</v>
      </c>
      <c r="E11" s="23">
        <f>IFERROR(INDEX(Holidays!$B$6:$B$60,MATCH(E10,Holidays!$C$6:$C$60,0)),"")</f>
        <v>0</v>
      </c>
      <c r="F11" s="23">
        <f>IFERROR(INDEX(Holidays!$B$6:$B$60,MATCH(F10,Holidays!$C$6:$C$60,0)),"")</f>
        <v>0</v>
      </c>
      <c r="G11" s="23">
        <f>IFERROR(INDEX(Holidays!$B$6:$B$60,MATCH(G10,Holidays!$C$6:$C$60,0)),"")</f>
        <v>0</v>
      </c>
      <c r="H11" s="24">
        <f>IFERROR(INDEX(Holidays!$B$6:$B$60,MATCH(H10,Holidays!$C$6:$C$60,0)),"")</f>
        <v>0</v>
      </c>
      <c r="J11" s="25"/>
    </row>
    <row r="12" spans="2:10" ht="18" customHeight="1">
      <c r="B12" s="26"/>
      <c r="C12" s="26"/>
      <c r="D12" s="26"/>
      <c r="E12" s="26"/>
      <c r="F12" s="26"/>
      <c r="G12" s="26"/>
      <c r="H12" s="27"/>
      <c r="J12" s="25"/>
    </row>
    <row r="13" spans="2:10" ht="18" customHeight="1">
      <c r="B13" s="26"/>
      <c r="C13" s="26"/>
      <c r="D13" s="26"/>
      <c r="E13" s="26"/>
      <c r="F13" s="26"/>
      <c r="G13" s="26"/>
      <c r="H13" s="27"/>
      <c r="J13" s="25"/>
    </row>
    <row r="14" spans="2:10" ht="18" customHeight="1">
      <c r="B14" s="28"/>
      <c r="C14" s="28"/>
      <c r="D14" s="28"/>
      <c r="E14" s="28"/>
      <c r="F14" s="28"/>
      <c r="G14" s="28"/>
      <c r="H14" s="29"/>
      <c r="J14" s="25"/>
    </row>
    <row r="15" spans="2:10" ht="21" customHeight="1">
      <c r="B15" s="20">
        <f>H10+1</f>
        <v>0</v>
      </c>
      <c r="C15" s="20">
        <f>B15+1</f>
        <v>0</v>
      </c>
      <c r="D15" s="20">
        <f>C15+1</f>
        <v>0</v>
      </c>
      <c r="E15" s="20">
        <f>D15+1</f>
        <v>0</v>
      </c>
      <c r="F15" s="20">
        <f>E15+1</f>
        <v>0</v>
      </c>
      <c r="G15" s="20">
        <f>F15+1</f>
        <v>0</v>
      </c>
      <c r="H15" s="21">
        <f>G15+1</f>
        <v>0</v>
      </c>
      <c r="J15" s="22">
        <f>"WEEK "&amp;TEXT(_xlfn.ISOWEEKNUM(B15+3),"00")</f>
        <v>0</v>
      </c>
    </row>
    <row r="16" spans="2:10" ht="12" customHeight="1">
      <c r="B16" s="23">
        <f>IFERROR(INDEX(Holidays!$B$6:$B$60,MATCH(B15,Holidays!$C$6:$C$60,0)),"")</f>
        <v>0</v>
      </c>
      <c r="C16" s="23">
        <f>IFERROR(INDEX(Holidays!$B$6:$B$60,MATCH(C15,Holidays!$C$6:$C$60,0)),"")</f>
        <v>0</v>
      </c>
      <c r="D16" s="23">
        <f>IFERROR(INDEX(Holidays!$B$6:$B$60,MATCH(D15,Holidays!$C$6:$C$60,0)),"")</f>
        <v>0</v>
      </c>
      <c r="E16" s="23">
        <f>IFERROR(INDEX(Holidays!$B$6:$B$60,MATCH(E15,Holidays!$C$6:$C$60,0)),"")</f>
        <v>0</v>
      </c>
      <c r="F16" s="23">
        <f>IFERROR(INDEX(Holidays!$B$6:$B$60,MATCH(F15,Holidays!$C$6:$C$60,0)),"")</f>
        <v>0</v>
      </c>
      <c r="G16" s="23">
        <f>IFERROR(INDEX(Holidays!$B$6:$B$60,MATCH(G15,Holidays!$C$6:$C$60,0)),"")</f>
        <v>0</v>
      </c>
      <c r="H16" s="24">
        <f>IFERROR(INDEX(Holidays!$B$6:$B$60,MATCH(H15,Holidays!$C$6:$C$60,0)),"")</f>
        <v>0</v>
      </c>
      <c r="J16" s="25"/>
    </row>
    <row r="17" spans="2:10" ht="18" customHeight="1">
      <c r="B17" s="26"/>
      <c r="C17" s="26"/>
      <c r="D17" s="26"/>
      <c r="E17" s="26"/>
      <c r="F17" s="26"/>
      <c r="G17" s="26"/>
      <c r="H17" s="27"/>
      <c r="J17" s="25"/>
    </row>
    <row r="18" spans="2:10" ht="18" customHeight="1">
      <c r="B18" s="26"/>
      <c r="C18" s="26"/>
      <c r="D18" s="26"/>
      <c r="E18" s="26"/>
      <c r="F18" s="26"/>
      <c r="G18" s="26"/>
      <c r="H18" s="27"/>
      <c r="J18" s="25"/>
    </row>
    <row r="19" spans="2:10" ht="18" customHeight="1">
      <c r="B19" s="28"/>
      <c r="C19" s="28"/>
      <c r="D19" s="28"/>
      <c r="E19" s="28"/>
      <c r="F19" s="28"/>
      <c r="G19" s="28"/>
      <c r="H19" s="29"/>
      <c r="J19" s="25"/>
    </row>
    <row r="20" spans="2:10" ht="21" customHeight="1">
      <c r="B20" s="20">
        <f>H15+1</f>
        <v>0</v>
      </c>
      <c r="C20" s="20">
        <f>B20+1</f>
        <v>0</v>
      </c>
      <c r="D20" s="20">
        <f>C20+1</f>
        <v>0</v>
      </c>
      <c r="E20" s="20">
        <f>D20+1</f>
        <v>0</v>
      </c>
      <c r="F20" s="20">
        <f>E20+1</f>
        <v>0</v>
      </c>
      <c r="G20" s="20">
        <f>F20+1</f>
        <v>0</v>
      </c>
      <c r="H20" s="21">
        <f>G20+1</f>
        <v>0</v>
      </c>
      <c r="J20" s="22">
        <f>"WEEK "&amp;TEXT(_xlfn.ISOWEEKNUM(B20+3),"00")</f>
        <v>0</v>
      </c>
    </row>
    <row r="21" spans="2:10" ht="12" customHeight="1">
      <c r="B21" s="23">
        <f>IFERROR(INDEX(Holidays!$B$6:$B$60,MATCH(B20,Holidays!$C$6:$C$60,0)),"")</f>
        <v>0</v>
      </c>
      <c r="C21" s="23">
        <f>IFERROR(INDEX(Holidays!$B$6:$B$60,MATCH(C20,Holidays!$C$6:$C$60,0)),"")</f>
        <v>0</v>
      </c>
      <c r="D21" s="23">
        <f>IFERROR(INDEX(Holidays!$B$6:$B$60,MATCH(D20,Holidays!$C$6:$C$60,0)),"")</f>
        <v>0</v>
      </c>
      <c r="E21" s="23">
        <f>IFERROR(INDEX(Holidays!$B$6:$B$60,MATCH(E20,Holidays!$C$6:$C$60,0)),"")</f>
        <v>0</v>
      </c>
      <c r="F21" s="23">
        <f>IFERROR(INDEX(Holidays!$B$6:$B$60,MATCH(F20,Holidays!$C$6:$C$60,0)),"")</f>
        <v>0</v>
      </c>
      <c r="G21" s="23">
        <f>IFERROR(INDEX(Holidays!$B$6:$B$60,MATCH(G20,Holidays!$C$6:$C$60,0)),"")</f>
        <v>0</v>
      </c>
      <c r="H21" s="24">
        <f>IFERROR(INDEX(Holidays!$B$6:$B$60,MATCH(H20,Holidays!$C$6:$C$60,0)),"")</f>
        <v>0</v>
      </c>
      <c r="J21" s="25"/>
    </row>
    <row r="22" spans="2:10" ht="18" customHeight="1">
      <c r="B22" s="26"/>
      <c r="C22" s="26"/>
      <c r="D22" s="26"/>
      <c r="E22" s="26"/>
      <c r="F22" s="26"/>
      <c r="G22" s="26"/>
      <c r="H22" s="27"/>
      <c r="J22" s="25"/>
    </row>
    <row r="23" spans="2:10" ht="18" customHeight="1">
      <c r="B23" s="26"/>
      <c r="C23" s="26"/>
      <c r="D23" s="26"/>
      <c r="E23" s="26"/>
      <c r="F23" s="26"/>
      <c r="G23" s="26"/>
      <c r="H23" s="27"/>
      <c r="J23" s="25"/>
    </row>
    <row r="24" spans="2:10" ht="18" customHeight="1">
      <c r="B24" s="28"/>
      <c r="C24" s="28"/>
      <c r="D24" s="28"/>
      <c r="E24" s="28"/>
      <c r="F24" s="28"/>
      <c r="G24" s="28"/>
      <c r="H24" s="29"/>
      <c r="J24" s="25"/>
    </row>
    <row r="25" spans="2:10" ht="21" customHeight="1">
      <c r="B25" s="20">
        <f>H20+1</f>
        <v>0</v>
      </c>
      <c r="C25" s="20">
        <f>B25+1</f>
        <v>0</v>
      </c>
      <c r="D25" s="20">
        <f>C25+1</f>
        <v>0</v>
      </c>
      <c r="E25" s="20">
        <f>D25+1</f>
        <v>0</v>
      </c>
      <c r="F25" s="20">
        <f>E25+1</f>
        <v>0</v>
      </c>
      <c r="G25" s="20">
        <f>F25+1</f>
        <v>0</v>
      </c>
      <c r="H25" s="21">
        <f>G25+1</f>
        <v>0</v>
      </c>
      <c r="J25" s="22">
        <f>"WEEK "&amp;TEXT(_xlfn.ISOWEEKNUM(B25+3),"00")</f>
        <v>0</v>
      </c>
    </row>
    <row r="26" spans="2:10" ht="12" customHeight="1">
      <c r="B26" s="23">
        <f>IFERROR(INDEX(Holidays!$B$6:$B$60,MATCH(B25,Holidays!$C$6:$C$60,0)),"")</f>
        <v>0</v>
      </c>
      <c r="C26" s="23">
        <f>IFERROR(INDEX(Holidays!$B$6:$B$60,MATCH(C25,Holidays!$C$6:$C$60,0)),"")</f>
        <v>0</v>
      </c>
      <c r="D26" s="23">
        <f>IFERROR(INDEX(Holidays!$B$6:$B$60,MATCH(D25,Holidays!$C$6:$C$60,0)),"")</f>
        <v>0</v>
      </c>
      <c r="E26" s="23">
        <f>IFERROR(INDEX(Holidays!$B$6:$B$60,MATCH(E25,Holidays!$C$6:$C$60,0)),"")</f>
        <v>0</v>
      </c>
      <c r="F26" s="23">
        <f>IFERROR(INDEX(Holidays!$B$6:$B$60,MATCH(F25,Holidays!$C$6:$C$60,0)),"")</f>
        <v>0</v>
      </c>
      <c r="G26" s="23">
        <f>IFERROR(INDEX(Holidays!$B$6:$B$60,MATCH(G25,Holidays!$C$6:$C$60,0)),"")</f>
        <v>0</v>
      </c>
      <c r="H26" s="24">
        <f>IFERROR(INDEX(Holidays!$B$6:$B$60,MATCH(H25,Holidays!$C$6:$C$60,0)),"")</f>
        <v>0</v>
      </c>
      <c r="J26" s="25"/>
    </row>
    <row r="27" spans="2:10" ht="18" customHeight="1">
      <c r="B27" s="26"/>
      <c r="C27" s="26"/>
      <c r="D27" s="26"/>
      <c r="E27" s="26"/>
      <c r="F27" s="26"/>
      <c r="G27" s="26"/>
      <c r="H27" s="27"/>
      <c r="J27" s="25"/>
    </row>
    <row r="28" spans="2:10" ht="18" customHeight="1">
      <c r="B28" s="26"/>
      <c r="C28" s="26"/>
      <c r="D28" s="26"/>
      <c r="E28" s="26"/>
      <c r="F28" s="26"/>
      <c r="G28" s="26"/>
      <c r="H28" s="27"/>
      <c r="J28" s="25"/>
    </row>
    <row r="29" spans="2:10" ht="18" customHeight="1">
      <c r="B29" s="28"/>
      <c r="C29" s="28"/>
      <c r="D29" s="28"/>
      <c r="E29" s="28"/>
      <c r="F29" s="28"/>
      <c r="G29" s="28"/>
      <c r="H29" s="29"/>
      <c r="J29" s="25"/>
    </row>
    <row r="30" spans="2:10" ht="21" customHeight="1">
      <c r="B30" s="20">
        <f>H25+1</f>
        <v>0</v>
      </c>
      <c r="C30" s="20">
        <f>B30+1</f>
        <v>0</v>
      </c>
      <c r="D30" s="20">
        <f>C30+1</f>
        <v>0</v>
      </c>
      <c r="E30" s="20">
        <f>D30+1</f>
        <v>0</v>
      </c>
      <c r="F30" s="20">
        <f>E30+1</f>
        <v>0</v>
      </c>
      <c r="G30" s="20">
        <f>F30+1</f>
        <v>0</v>
      </c>
      <c r="H30" s="21">
        <f>G30+1</f>
        <v>0</v>
      </c>
      <c r="J30" s="22">
        <f>"WEEK "&amp;TEXT(_xlfn.ISOWEEKNUM(B30+3),"00")</f>
        <v>0</v>
      </c>
    </row>
    <row r="31" spans="2:10" ht="12" customHeight="1">
      <c r="B31" s="23">
        <f>IFERROR(INDEX(Holidays!$B$6:$B$60,MATCH(B30,Holidays!$C$6:$C$60,0)),"")</f>
        <v>0</v>
      </c>
      <c r="C31" s="23">
        <f>IFERROR(INDEX(Holidays!$B$6:$B$60,MATCH(C30,Holidays!$C$6:$C$60,0)),"")</f>
        <v>0</v>
      </c>
      <c r="D31" s="23">
        <f>IFERROR(INDEX(Holidays!$B$6:$B$60,MATCH(D30,Holidays!$C$6:$C$60,0)),"")</f>
        <v>0</v>
      </c>
      <c r="E31" s="23">
        <f>IFERROR(INDEX(Holidays!$B$6:$B$60,MATCH(E30,Holidays!$C$6:$C$60,0)),"")</f>
        <v>0</v>
      </c>
      <c r="F31" s="23">
        <f>IFERROR(INDEX(Holidays!$B$6:$B$60,MATCH(F30,Holidays!$C$6:$C$60,0)),"")</f>
        <v>0</v>
      </c>
      <c r="G31" s="23">
        <f>IFERROR(INDEX(Holidays!$B$6:$B$60,MATCH(G30,Holidays!$C$6:$C$60,0)),"")</f>
        <v>0</v>
      </c>
      <c r="H31" s="24">
        <f>IFERROR(INDEX(Holidays!$B$6:$B$60,MATCH(H30,Holidays!$C$6:$C$60,0)),"")</f>
        <v>0</v>
      </c>
      <c r="J31" s="30"/>
    </row>
    <row r="32" spans="2:10" ht="18" customHeight="1">
      <c r="B32" s="26"/>
      <c r="C32" s="26"/>
      <c r="D32" s="26"/>
      <c r="E32" s="26"/>
      <c r="F32" s="26"/>
      <c r="G32" s="26"/>
      <c r="H32" s="27"/>
      <c r="J32" s="30"/>
    </row>
    <row r="33" spans="2:10" ht="18" customHeight="1">
      <c r="B33" s="26"/>
      <c r="C33" s="26"/>
      <c r="D33" s="26"/>
      <c r="E33" s="26"/>
      <c r="F33" s="26"/>
      <c r="G33" s="26"/>
      <c r="H33" s="27"/>
      <c r="J33" s="30"/>
    </row>
    <row r="34" spans="2:10" ht="18" customHeight="1">
      <c r="B34" s="31"/>
      <c r="C34" s="31"/>
      <c r="D34" s="31"/>
      <c r="E34" s="31"/>
      <c r="F34" s="31"/>
      <c r="G34" s="31"/>
      <c r="H34" s="32"/>
      <c r="J34" s="30"/>
    </row>
    <row r="35" spans="2:10" ht="16" customHeight="1">
      <c r="B35" s="33" t="s">
        <v>19</v>
      </c>
      <c r="C35" s="33"/>
      <c r="D35" s="33"/>
      <c r="E35" s="33"/>
      <c r="F35" s="33"/>
      <c r="G35" s="33"/>
      <c r="H35" s="33"/>
      <c r="I35" s="33"/>
      <c r="J35" s="33"/>
    </row>
  </sheetData>
  <mergeCells count="10">
    <mergeCell ref="B2:F2"/>
    <mergeCell ref="G2:H2"/>
    <mergeCell ref="B3:H3"/>
    <mergeCell ref="J6:J9"/>
    <mergeCell ref="J11:J14"/>
    <mergeCell ref="J16:J19"/>
    <mergeCell ref="J21:J24"/>
    <mergeCell ref="J26:J29"/>
    <mergeCell ref="J31:J34"/>
    <mergeCell ref="B35:J35"/>
  </mergeCells>
  <conditionalFormatting sqref="B10:H14">
    <cfRule type="expression" dxfId="4" priority="8" stopIfTrue="1">
      <formula>AND(ROW()=10,B$10=TODAY())</formula>
    </cfRule>
    <cfRule type="expression" dxfId="5" priority="9" stopIfTrue="1">
      <formula>AND(NOT(MONTH(B$10)=7),OR(WEEKDAY(B$10)=1,WEEKDAY(B$10)=7))</formula>
    </cfRule>
    <cfRule type="expression" dxfId="6" priority="10" stopIfTrue="1">
      <formula>NOT(MONTH(B$10)=7)</formula>
    </cfRule>
    <cfRule type="expression" dxfId="7" priority="11" stopIfTrue="1">
      <formula>AND(ROW()&lt;=11,COUNTIFS(INDIRECT("Holidays!$C$6:$C$60"),B$10,INDIRECT("Holidays!$D$6:$D$60"),"Holiday")&gt;0)</formula>
    </cfRule>
    <cfRule type="expression" dxfId="8" priority="12" stopIfTrue="1">
      <formula>COUNTIFS(INDIRECT("Holidays!$C$6:$C$60"),B$10,INDIRECT("Holidays!$D$6:$D$60"),"Holiday")&gt;0</formula>
    </cfRule>
    <cfRule type="expression" dxfId="8" priority="13" stopIfTrue="1">
      <formula>B$10=TODAY()</formula>
    </cfRule>
    <cfRule type="expression" dxfId="9" priority="14" stopIfTrue="1">
      <formula>OR(WEEKDAY(B$10)=1,WEEKDAY(B$10)=7)</formula>
    </cfRule>
  </conditionalFormatting>
  <conditionalFormatting sqref="B15:H19">
    <cfRule type="expression" dxfId="4" priority="15" stopIfTrue="1">
      <formula>AND(ROW()=15,B$15=TODAY())</formula>
    </cfRule>
    <cfRule type="expression" dxfId="5" priority="16" stopIfTrue="1">
      <formula>AND(NOT(MONTH(B$15)=7),OR(WEEKDAY(B$15)=1,WEEKDAY(B$15)=7))</formula>
    </cfRule>
    <cfRule type="expression" dxfId="6" priority="17" stopIfTrue="1">
      <formula>NOT(MONTH(B$15)=7)</formula>
    </cfRule>
    <cfRule type="expression" dxfId="7" priority="18" stopIfTrue="1">
      <formula>AND(ROW()&lt;=16,COUNTIFS(INDIRECT("Holidays!$C$6:$C$60"),B$15,INDIRECT("Holidays!$D$6:$D$60"),"Holiday")&gt;0)</formula>
    </cfRule>
    <cfRule type="expression" dxfId="8" priority="19" stopIfTrue="1">
      <formula>COUNTIFS(INDIRECT("Holidays!$C$6:$C$60"),B$15,INDIRECT("Holidays!$D$6:$D$60"),"Holiday")&gt;0</formula>
    </cfRule>
    <cfRule type="expression" dxfId="8" priority="20" stopIfTrue="1">
      <formula>B$15=TODAY()</formula>
    </cfRule>
    <cfRule type="expression" dxfId="9" priority="21" stopIfTrue="1">
      <formula>OR(WEEKDAY(B$15)=1,WEEKDAY(B$15)=7)</formula>
    </cfRule>
  </conditionalFormatting>
  <conditionalFormatting sqref="B20:H24">
    <cfRule type="expression" dxfId="4" priority="22" stopIfTrue="1">
      <formula>AND(ROW()=20,B$20=TODAY())</formula>
    </cfRule>
    <cfRule type="expression" dxfId="5" priority="23" stopIfTrue="1">
      <formula>AND(NOT(MONTH(B$20)=7),OR(WEEKDAY(B$20)=1,WEEKDAY(B$20)=7))</formula>
    </cfRule>
    <cfRule type="expression" dxfId="6" priority="24" stopIfTrue="1">
      <formula>NOT(MONTH(B$20)=7)</formula>
    </cfRule>
    <cfRule type="expression" dxfId="7" priority="25" stopIfTrue="1">
      <formula>AND(ROW()&lt;=21,COUNTIFS(INDIRECT("Holidays!$C$6:$C$60"),B$20,INDIRECT("Holidays!$D$6:$D$60"),"Holiday")&gt;0)</formula>
    </cfRule>
    <cfRule type="expression" dxfId="8" priority="26" stopIfTrue="1">
      <formula>COUNTIFS(INDIRECT("Holidays!$C$6:$C$60"),B$20,INDIRECT("Holidays!$D$6:$D$60"),"Holiday")&gt;0</formula>
    </cfRule>
    <cfRule type="expression" dxfId="8" priority="27" stopIfTrue="1">
      <formula>B$20=TODAY()</formula>
    </cfRule>
    <cfRule type="expression" dxfId="9" priority="28" stopIfTrue="1">
      <formula>OR(WEEKDAY(B$20)=1,WEEKDAY(B$20)=7)</formula>
    </cfRule>
  </conditionalFormatting>
  <conditionalFormatting sqref="B25:H29">
    <cfRule type="expression" dxfId="4" priority="29" stopIfTrue="1">
      <formula>AND(ROW()=25,B$25=TODAY())</formula>
    </cfRule>
    <cfRule type="expression" dxfId="5" priority="30" stopIfTrue="1">
      <formula>AND(NOT(MONTH(B$25)=7),OR(WEEKDAY(B$25)=1,WEEKDAY(B$25)=7))</formula>
    </cfRule>
    <cfRule type="expression" dxfId="6" priority="31" stopIfTrue="1">
      <formula>NOT(MONTH(B$25)=7)</formula>
    </cfRule>
    <cfRule type="expression" dxfId="7" priority="32" stopIfTrue="1">
      <formula>AND(ROW()&lt;=26,COUNTIFS(INDIRECT("Holidays!$C$6:$C$60"),B$25,INDIRECT("Holidays!$D$6:$D$60"),"Holiday")&gt;0)</formula>
    </cfRule>
    <cfRule type="expression" dxfId="8" priority="33" stopIfTrue="1">
      <formula>COUNTIFS(INDIRECT("Holidays!$C$6:$C$60"),B$25,INDIRECT("Holidays!$D$6:$D$60"),"Holiday")&gt;0</formula>
    </cfRule>
    <cfRule type="expression" dxfId="8" priority="34" stopIfTrue="1">
      <formula>B$25=TODAY()</formula>
    </cfRule>
    <cfRule type="expression" dxfId="9" priority="35" stopIfTrue="1">
      <formula>OR(WEEKDAY(B$25)=1,WEEKDAY(B$25)=7)</formula>
    </cfRule>
  </conditionalFormatting>
  <conditionalFormatting sqref="B30:H34">
    <cfRule type="expression" dxfId="4" priority="36" stopIfTrue="1">
      <formula>AND(ROW()=30,B$30=TODAY())</formula>
    </cfRule>
    <cfRule type="expression" dxfId="5" priority="37" stopIfTrue="1">
      <formula>AND(NOT(MONTH(B$30)=7),OR(WEEKDAY(B$30)=1,WEEKDAY(B$30)=7))</formula>
    </cfRule>
    <cfRule type="expression" dxfId="6" priority="38" stopIfTrue="1">
      <formula>NOT(MONTH(B$30)=7)</formula>
    </cfRule>
    <cfRule type="expression" dxfId="7" priority="39" stopIfTrue="1">
      <formula>AND(ROW()&lt;=31,COUNTIFS(INDIRECT("Holidays!$C$6:$C$60"),B$30,INDIRECT("Holidays!$D$6:$D$60"),"Holiday")&gt;0)</formula>
    </cfRule>
    <cfRule type="expression" dxfId="8" priority="40" stopIfTrue="1">
      <formula>COUNTIFS(INDIRECT("Holidays!$C$6:$C$60"),B$30,INDIRECT("Holidays!$D$6:$D$60"),"Holiday")&gt;0</formula>
    </cfRule>
    <cfRule type="expression" dxfId="8" priority="41" stopIfTrue="1">
      <formula>B$30=TODAY()</formula>
    </cfRule>
    <cfRule type="expression" dxfId="9" priority="42" stopIfTrue="1">
      <formula>OR(WEEKDAY(B$30)=1,WEEKDAY(B$30)=7)</formula>
    </cfRule>
  </conditionalFormatting>
  <conditionalFormatting sqref="B5:H9">
    <cfRule type="expression" dxfId="4" priority="1" stopIfTrue="1">
      <formula>AND(ROW()=5,B$5=TODAY())</formula>
    </cfRule>
    <cfRule type="expression" dxfId="5" priority="2" stopIfTrue="1">
      <formula>AND(NOT(MONTH(B$5)=7),OR(WEEKDAY(B$5)=1,WEEKDAY(B$5)=7))</formula>
    </cfRule>
    <cfRule type="expression" dxfId="6" priority="3" stopIfTrue="1">
      <formula>NOT(MONTH(B$5)=7)</formula>
    </cfRule>
    <cfRule type="expression" dxfId="7" priority="4" stopIfTrue="1">
      <formula>AND(ROW()&lt;=6,COUNTIFS(INDIRECT("Holidays!$C$6:$C$60"),B$5,INDIRECT("Holidays!$D$6:$D$60"),"Holiday")&gt;0)</formula>
    </cfRule>
    <cfRule type="expression" dxfId="8" priority="5" stopIfTrue="1">
      <formula>COUNTIFS(INDIRECT("Holidays!$C$6:$C$60"),B$5,INDIRECT("Holidays!$D$6:$D$60"),"Holiday")&gt;0</formula>
    </cfRule>
    <cfRule type="expression" dxfId="8" priority="6" stopIfTrue="1">
      <formula>B$5=TODAY()</formula>
    </cfRule>
    <cfRule type="expression" dxfId="9" priority="7" stopIfTrue="1">
      <formula>OR(WEEKDAY(B$5)=1,WEEKDAY(B$5)=7)</formula>
    </cfRule>
  </conditionalFormatting>
  <printOptions horizontalCentered="1"/>
  <pageMargins left="0.4" right="0.4" top="0.4" bottom="0.4" header="0.3" footer="0.3"/>
  <pageSetup orientation="landscape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8" width="17.7109375" customWidth="1"/>
    <col min="9" max="9" width="2.28515625" customWidth="1"/>
    <col min="10" max="10" width="24.7109375" customWidth="1"/>
    <col min="11" max="11" width="2.28515625" customWidth="1"/>
  </cols>
  <sheetData>
    <row r="1" spans="2:10" ht="8" customHeight="1"/>
    <row r="2" spans="2:10" ht="46" customHeight="1">
      <c r="B2" s="34" t="s">
        <v>11</v>
      </c>
      <c r="C2" s="34"/>
      <c r="D2" s="34"/>
      <c r="E2" s="34"/>
      <c r="F2" s="34"/>
      <c r="G2" s="35">
        <f>CalYear</f>
        <v>0</v>
      </c>
      <c r="H2" s="35"/>
    </row>
    <row r="3" spans="2:10" ht="18" customHeight="1">
      <c r="B3" s="17" t="s">
        <v>17</v>
      </c>
      <c r="C3" s="17"/>
      <c r="D3" s="17"/>
      <c r="E3" s="17"/>
      <c r="F3" s="17"/>
      <c r="G3" s="17"/>
      <c r="H3" s="17"/>
    </row>
    <row r="4" spans="2:10" ht="22" customHeight="1">
      <c r="B4" s="36">
        <f>IF(WeekStart="Monday",CHOOSE(1,"MON","TUE","WED","THU","FRI","SAT","SUN"),CHOOSE(1,"SUN","MON","TUE","WED","THU","FRI","SAT"))</f>
        <v>0</v>
      </c>
      <c r="C4" s="36">
        <f>IF(WeekStart="Monday",CHOOSE(2,"MON","TUE","WED","THU","FRI","SAT","SUN"),CHOOSE(2,"SUN","MON","TUE","WED","THU","FRI","SAT"))</f>
        <v>0</v>
      </c>
      <c r="D4" s="36">
        <f>IF(WeekStart="Monday",CHOOSE(3,"MON","TUE","WED","THU","FRI","SAT","SUN"),CHOOSE(3,"SUN","MON","TUE","WED","THU","FRI","SAT"))</f>
        <v>0</v>
      </c>
      <c r="E4" s="36">
        <f>IF(WeekStart="Monday",CHOOSE(4,"MON","TUE","WED","THU","FRI","SAT","SUN"),CHOOSE(4,"SUN","MON","TUE","WED","THU","FRI","SAT"))</f>
        <v>0</v>
      </c>
      <c r="F4" s="36">
        <f>IF(WeekStart="Monday",CHOOSE(5,"MON","TUE","WED","THU","FRI","SAT","SUN"),CHOOSE(5,"SUN","MON","TUE","WED","THU","FRI","SAT"))</f>
        <v>0</v>
      </c>
      <c r="G4" s="36">
        <f>IF(WeekStart="Monday",CHOOSE(6,"MON","TUE","WED","THU","FRI","SAT","SUN"),CHOOSE(6,"SUN","MON","TUE","WED","THU","FRI","SAT"))</f>
        <v>0</v>
      </c>
      <c r="H4" s="36">
        <f>IF(WeekStart="Monday",CHOOSE(7,"MON","TUE","WED","THU","FRI","SAT","SUN"),CHOOSE(7,"SUN","MON","TUE","WED","THU","FRI","SAT"))</f>
        <v>0</v>
      </c>
      <c r="J4" s="37" t="s">
        <v>18</v>
      </c>
    </row>
    <row r="5" spans="2:10" ht="21" customHeight="1">
      <c r="B5" s="20">
        <f>DATE(CalYear,8,1)-WEEKDAY(DATE(CalYear,8,1),IF(WeekStart="Monday",2,1))+1</f>
        <v>0</v>
      </c>
      <c r="C5" s="20">
        <f>B5+1</f>
        <v>0</v>
      </c>
      <c r="D5" s="20">
        <f>C5+1</f>
        <v>0</v>
      </c>
      <c r="E5" s="20">
        <f>D5+1</f>
        <v>0</v>
      </c>
      <c r="F5" s="20">
        <f>E5+1</f>
        <v>0</v>
      </c>
      <c r="G5" s="20">
        <f>F5+1</f>
        <v>0</v>
      </c>
      <c r="H5" s="21">
        <f>G5+1</f>
        <v>0</v>
      </c>
      <c r="J5" s="22">
        <f>"WEEK "&amp;TEXT(_xlfn.ISOWEEKNUM(B5+3),"00")</f>
        <v>0</v>
      </c>
    </row>
    <row r="6" spans="2:10" ht="12" customHeight="1">
      <c r="B6" s="23">
        <f>IFERROR(INDEX(Holidays!$B$6:$B$60,MATCH(B5,Holidays!$C$6:$C$60,0)),"")</f>
        <v>0</v>
      </c>
      <c r="C6" s="23">
        <f>IFERROR(INDEX(Holidays!$B$6:$B$60,MATCH(C5,Holidays!$C$6:$C$60,0)),"")</f>
        <v>0</v>
      </c>
      <c r="D6" s="23">
        <f>IFERROR(INDEX(Holidays!$B$6:$B$60,MATCH(D5,Holidays!$C$6:$C$60,0)),"")</f>
        <v>0</v>
      </c>
      <c r="E6" s="23">
        <f>IFERROR(INDEX(Holidays!$B$6:$B$60,MATCH(E5,Holidays!$C$6:$C$60,0)),"")</f>
        <v>0</v>
      </c>
      <c r="F6" s="23">
        <f>IFERROR(INDEX(Holidays!$B$6:$B$60,MATCH(F5,Holidays!$C$6:$C$60,0)),"")</f>
        <v>0</v>
      </c>
      <c r="G6" s="23">
        <f>IFERROR(INDEX(Holidays!$B$6:$B$60,MATCH(G5,Holidays!$C$6:$C$60,0)),"")</f>
        <v>0</v>
      </c>
      <c r="H6" s="24">
        <f>IFERROR(INDEX(Holidays!$B$6:$B$60,MATCH(H5,Holidays!$C$6:$C$60,0)),"")</f>
        <v>0</v>
      </c>
      <c r="J6" s="25"/>
    </row>
    <row r="7" spans="2:10" ht="18" customHeight="1">
      <c r="B7" s="26"/>
      <c r="C7" s="26"/>
      <c r="D7" s="26"/>
      <c r="E7" s="26"/>
      <c r="F7" s="26"/>
      <c r="G7" s="26"/>
      <c r="H7" s="27"/>
      <c r="J7" s="25"/>
    </row>
    <row r="8" spans="2:10" ht="18" customHeight="1">
      <c r="B8" s="26"/>
      <c r="C8" s="26"/>
      <c r="D8" s="26"/>
      <c r="E8" s="26"/>
      <c r="F8" s="26"/>
      <c r="G8" s="26"/>
      <c r="H8" s="27"/>
      <c r="J8" s="25"/>
    </row>
    <row r="9" spans="2:10" ht="18" customHeight="1">
      <c r="B9" s="28"/>
      <c r="C9" s="28"/>
      <c r="D9" s="28"/>
      <c r="E9" s="28"/>
      <c r="F9" s="28"/>
      <c r="G9" s="28"/>
      <c r="H9" s="29"/>
      <c r="J9" s="25"/>
    </row>
    <row r="10" spans="2:10" ht="21" customHeight="1">
      <c r="B10" s="20">
        <f>H5+1</f>
        <v>0</v>
      </c>
      <c r="C10" s="20">
        <f>B10+1</f>
        <v>0</v>
      </c>
      <c r="D10" s="20">
        <f>C10+1</f>
        <v>0</v>
      </c>
      <c r="E10" s="20">
        <f>D10+1</f>
        <v>0</v>
      </c>
      <c r="F10" s="20">
        <f>E10+1</f>
        <v>0</v>
      </c>
      <c r="G10" s="20">
        <f>F10+1</f>
        <v>0</v>
      </c>
      <c r="H10" s="21">
        <f>G10+1</f>
        <v>0</v>
      </c>
      <c r="J10" s="22">
        <f>"WEEK "&amp;TEXT(_xlfn.ISOWEEKNUM(B10+3),"00")</f>
        <v>0</v>
      </c>
    </row>
    <row r="11" spans="2:10" ht="12" customHeight="1">
      <c r="B11" s="23">
        <f>IFERROR(INDEX(Holidays!$B$6:$B$60,MATCH(B10,Holidays!$C$6:$C$60,0)),"")</f>
        <v>0</v>
      </c>
      <c r="C11" s="23">
        <f>IFERROR(INDEX(Holidays!$B$6:$B$60,MATCH(C10,Holidays!$C$6:$C$60,0)),"")</f>
        <v>0</v>
      </c>
      <c r="D11" s="23">
        <f>IFERROR(INDEX(Holidays!$B$6:$B$60,MATCH(D10,Holidays!$C$6:$C$60,0)),"")</f>
        <v>0</v>
      </c>
      <c r="E11" s="23">
        <f>IFERROR(INDEX(Holidays!$B$6:$B$60,MATCH(E10,Holidays!$C$6:$C$60,0)),"")</f>
        <v>0</v>
      </c>
      <c r="F11" s="23">
        <f>IFERROR(INDEX(Holidays!$B$6:$B$60,MATCH(F10,Holidays!$C$6:$C$60,0)),"")</f>
        <v>0</v>
      </c>
      <c r="G11" s="23">
        <f>IFERROR(INDEX(Holidays!$B$6:$B$60,MATCH(G10,Holidays!$C$6:$C$60,0)),"")</f>
        <v>0</v>
      </c>
      <c r="H11" s="24">
        <f>IFERROR(INDEX(Holidays!$B$6:$B$60,MATCH(H10,Holidays!$C$6:$C$60,0)),"")</f>
        <v>0</v>
      </c>
      <c r="J11" s="25"/>
    </row>
    <row r="12" spans="2:10" ht="18" customHeight="1">
      <c r="B12" s="26"/>
      <c r="C12" s="26"/>
      <c r="D12" s="26"/>
      <c r="E12" s="26"/>
      <c r="F12" s="26"/>
      <c r="G12" s="26"/>
      <c r="H12" s="27"/>
      <c r="J12" s="25"/>
    </row>
    <row r="13" spans="2:10" ht="18" customHeight="1">
      <c r="B13" s="26"/>
      <c r="C13" s="26"/>
      <c r="D13" s="26"/>
      <c r="E13" s="26"/>
      <c r="F13" s="26"/>
      <c r="G13" s="26"/>
      <c r="H13" s="27"/>
      <c r="J13" s="25"/>
    </row>
    <row r="14" spans="2:10" ht="18" customHeight="1">
      <c r="B14" s="28"/>
      <c r="C14" s="28"/>
      <c r="D14" s="28"/>
      <c r="E14" s="28"/>
      <c r="F14" s="28"/>
      <c r="G14" s="28"/>
      <c r="H14" s="29"/>
      <c r="J14" s="25"/>
    </row>
    <row r="15" spans="2:10" ht="21" customHeight="1">
      <c r="B15" s="20">
        <f>H10+1</f>
        <v>0</v>
      </c>
      <c r="C15" s="20">
        <f>B15+1</f>
        <v>0</v>
      </c>
      <c r="D15" s="20">
        <f>C15+1</f>
        <v>0</v>
      </c>
      <c r="E15" s="20">
        <f>D15+1</f>
        <v>0</v>
      </c>
      <c r="F15" s="20">
        <f>E15+1</f>
        <v>0</v>
      </c>
      <c r="G15" s="20">
        <f>F15+1</f>
        <v>0</v>
      </c>
      <c r="H15" s="21">
        <f>G15+1</f>
        <v>0</v>
      </c>
      <c r="J15" s="22">
        <f>"WEEK "&amp;TEXT(_xlfn.ISOWEEKNUM(B15+3),"00")</f>
        <v>0</v>
      </c>
    </row>
    <row r="16" spans="2:10" ht="12" customHeight="1">
      <c r="B16" s="23">
        <f>IFERROR(INDEX(Holidays!$B$6:$B$60,MATCH(B15,Holidays!$C$6:$C$60,0)),"")</f>
        <v>0</v>
      </c>
      <c r="C16" s="23">
        <f>IFERROR(INDEX(Holidays!$B$6:$B$60,MATCH(C15,Holidays!$C$6:$C$60,0)),"")</f>
        <v>0</v>
      </c>
      <c r="D16" s="23">
        <f>IFERROR(INDEX(Holidays!$B$6:$B$60,MATCH(D15,Holidays!$C$6:$C$60,0)),"")</f>
        <v>0</v>
      </c>
      <c r="E16" s="23">
        <f>IFERROR(INDEX(Holidays!$B$6:$B$60,MATCH(E15,Holidays!$C$6:$C$60,0)),"")</f>
        <v>0</v>
      </c>
      <c r="F16" s="23">
        <f>IFERROR(INDEX(Holidays!$B$6:$B$60,MATCH(F15,Holidays!$C$6:$C$60,0)),"")</f>
        <v>0</v>
      </c>
      <c r="G16" s="23">
        <f>IFERROR(INDEX(Holidays!$B$6:$B$60,MATCH(G15,Holidays!$C$6:$C$60,0)),"")</f>
        <v>0</v>
      </c>
      <c r="H16" s="24">
        <f>IFERROR(INDEX(Holidays!$B$6:$B$60,MATCH(H15,Holidays!$C$6:$C$60,0)),"")</f>
        <v>0</v>
      </c>
      <c r="J16" s="25"/>
    </row>
    <row r="17" spans="2:10" ht="18" customHeight="1">
      <c r="B17" s="26"/>
      <c r="C17" s="26"/>
      <c r="D17" s="26"/>
      <c r="E17" s="26"/>
      <c r="F17" s="26"/>
      <c r="G17" s="26"/>
      <c r="H17" s="27"/>
      <c r="J17" s="25"/>
    </row>
    <row r="18" spans="2:10" ht="18" customHeight="1">
      <c r="B18" s="26"/>
      <c r="C18" s="26"/>
      <c r="D18" s="26"/>
      <c r="E18" s="26"/>
      <c r="F18" s="26"/>
      <c r="G18" s="26"/>
      <c r="H18" s="27"/>
      <c r="J18" s="25"/>
    </row>
    <row r="19" spans="2:10" ht="18" customHeight="1">
      <c r="B19" s="28"/>
      <c r="C19" s="28"/>
      <c r="D19" s="28"/>
      <c r="E19" s="28"/>
      <c r="F19" s="28"/>
      <c r="G19" s="28"/>
      <c r="H19" s="29"/>
      <c r="J19" s="25"/>
    </row>
    <row r="20" spans="2:10" ht="21" customHeight="1">
      <c r="B20" s="20">
        <f>H15+1</f>
        <v>0</v>
      </c>
      <c r="C20" s="20">
        <f>B20+1</f>
        <v>0</v>
      </c>
      <c r="D20" s="20">
        <f>C20+1</f>
        <v>0</v>
      </c>
      <c r="E20" s="20">
        <f>D20+1</f>
        <v>0</v>
      </c>
      <c r="F20" s="20">
        <f>E20+1</f>
        <v>0</v>
      </c>
      <c r="G20" s="20">
        <f>F20+1</f>
        <v>0</v>
      </c>
      <c r="H20" s="21">
        <f>G20+1</f>
        <v>0</v>
      </c>
      <c r="J20" s="22">
        <f>"WEEK "&amp;TEXT(_xlfn.ISOWEEKNUM(B20+3),"00")</f>
        <v>0</v>
      </c>
    </row>
    <row r="21" spans="2:10" ht="12" customHeight="1">
      <c r="B21" s="23">
        <f>IFERROR(INDEX(Holidays!$B$6:$B$60,MATCH(B20,Holidays!$C$6:$C$60,0)),"")</f>
        <v>0</v>
      </c>
      <c r="C21" s="23">
        <f>IFERROR(INDEX(Holidays!$B$6:$B$60,MATCH(C20,Holidays!$C$6:$C$60,0)),"")</f>
        <v>0</v>
      </c>
      <c r="D21" s="23">
        <f>IFERROR(INDEX(Holidays!$B$6:$B$60,MATCH(D20,Holidays!$C$6:$C$60,0)),"")</f>
        <v>0</v>
      </c>
      <c r="E21" s="23">
        <f>IFERROR(INDEX(Holidays!$B$6:$B$60,MATCH(E20,Holidays!$C$6:$C$60,0)),"")</f>
        <v>0</v>
      </c>
      <c r="F21" s="23">
        <f>IFERROR(INDEX(Holidays!$B$6:$B$60,MATCH(F20,Holidays!$C$6:$C$60,0)),"")</f>
        <v>0</v>
      </c>
      <c r="G21" s="23">
        <f>IFERROR(INDEX(Holidays!$B$6:$B$60,MATCH(G20,Holidays!$C$6:$C$60,0)),"")</f>
        <v>0</v>
      </c>
      <c r="H21" s="24">
        <f>IFERROR(INDEX(Holidays!$B$6:$B$60,MATCH(H20,Holidays!$C$6:$C$60,0)),"")</f>
        <v>0</v>
      </c>
      <c r="J21" s="25"/>
    </row>
    <row r="22" spans="2:10" ht="18" customHeight="1">
      <c r="B22" s="26"/>
      <c r="C22" s="26"/>
      <c r="D22" s="26"/>
      <c r="E22" s="26"/>
      <c r="F22" s="26"/>
      <c r="G22" s="26"/>
      <c r="H22" s="27"/>
      <c r="J22" s="25"/>
    </row>
    <row r="23" spans="2:10" ht="18" customHeight="1">
      <c r="B23" s="26"/>
      <c r="C23" s="26"/>
      <c r="D23" s="26"/>
      <c r="E23" s="26"/>
      <c r="F23" s="26"/>
      <c r="G23" s="26"/>
      <c r="H23" s="27"/>
      <c r="J23" s="25"/>
    </row>
    <row r="24" spans="2:10" ht="18" customHeight="1">
      <c r="B24" s="28"/>
      <c r="C24" s="28"/>
      <c r="D24" s="28"/>
      <c r="E24" s="28"/>
      <c r="F24" s="28"/>
      <c r="G24" s="28"/>
      <c r="H24" s="29"/>
      <c r="J24" s="25"/>
    </row>
    <row r="25" spans="2:10" ht="21" customHeight="1">
      <c r="B25" s="20">
        <f>H20+1</f>
        <v>0</v>
      </c>
      <c r="C25" s="20">
        <f>B25+1</f>
        <v>0</v>
      </c>
      <c r="D25" s="20">
        <f>C25+1</f>
        <v>0</v>
      </c>
      <c r="E25" s="20">
        <f>D25+1</f>
        <v>0</v>
      </c>
      <c r="F25" s="20">
        <f>E25+1</f>
        <v>0</v>
      </c>
      <c r="G25" s="20">
        <f>F25+1</f>
        <v>0</v>
      </c>
      <c r="H25" s="21">
        <f>G25+1</f>
        <v>0</v>
      </c>
      <c r="J25" s="22">
        <f>"WEEK "&amp;TEXT(_xlfn.ISOWEEKNUM(B25+3),"00")</f>
        <v>0</v>
      </c>
    </row>
    <row r="26" spans="2:10" ht="12" customHeight="1">
      <c r="B26" s="23">
        <f>IFERROR(INDEX(Holidays!$B$6:$B$60,MATCH(B25,Holidays!$C$6:$C$60,0)),"")</f>
        <v>0</v>
      </c>
      <c r="C26" s="23">
        <f>IFERROR(INDEX(Holidays!$B$6:$B$60,MATCH(C25,Holidays!$C$6:$C$60,0)),"")</f>
        <v>0</v>
      </c>
      <c r="D26" s="23">
        <f>IFERROR(INDEX(Holidays!$B$6:$B$60,MATCH(D25,Holidays!$C$6:$C$60,0)),"")</f>
        <v>0</v>
      </c>
      <c r="E26" s="23">
        <f>IFERROR(INDEX(Holidays!$B$6:$B$60,MATCH(E25,Holidays!$C$6:$C$60,0)),"")</f>
        <v>0</v>
      </c>
      <c r="F26" s="23">
        <f>IFERROR(INDEX(Holidays!$B$6:$B$60,MATCH(F25,Holidays!$C$6:$C$60,0)),"")</f>
        <v>0</v>
      </c>
      <c r="G26" s="23">
        <f>IFERROR(INDEX(Holidays!$B$6:$B$60,MATCH(G25,Holidays!$C$6:$C$60,0)),"")</f>
        <v>0</v>
      </c>
      <c r="H26" s="24">
        <f>IFERROR(INDEX(Holidays!$B$6:$B$60,MATCH(H25,Holidays!$C$6:$C$60,0)),"")</f>
        <v>0</v>
      </c>
      <c r="J26" s="25"/>
    </row>
    <row r="27" spans="2:10" ht="18" customHeight="1">
      <c r="B27" s="26"/>
      <c r="C27" s="26"/>
      <c r="D27" s="26"/>
      <c r="E27" s="26"/>
      <c r="F27" s="26"/>
      <c r="G27" s="26"/>
      <c r="H27" s="27"/>
      <c r="J27" s="25"/>
    </row>
    <row r="28" spans="2:10" ht="18" customHeight="1">
      <c r="B28" s="26"/>
      <c r="C28" s="26"/>
      <c r="D28" s="26"/>
      <c r="E28" s="26"/>
      <c r="F28" s="26"/>
      <c r="G28" s="26"/>
      <c r="H28" s="27"/>
      <c r="J28" s="25"/>
    </row>
    <row r="29" spans="2:10" ht="18" customHeight="1">
      <c r="B29" s="28"/>
      <c r="C29" s="28"/>
      <c r="D29" s="28"/>
      <c r="E29" s="28"/>
      <c r="F29" s="28"/>
      <c r="G29" s="28"/>
      <c r="H29" s="29"/>
      <c r="J29" s="25"/>
    </row>
    <row r="30" spans="2:10" ht="21" customHeight="1">
      <c r="B30" s="20">
        <f>H25+1</f>
        <v>0</v>
      </c>
      <c r="C30" s="20">
        <f>B30+1</f>
        <v>0</v>
      </c>
      <c r="D30" s="20">
        <f>C30+1</f>
        <v>0</v>
      </c>
      <c r="E30" s="20">
        <f>D30+1</f>
        <v>0</v>
      </c>
      <c r="F30" s="20">
        <f>E30+1</f>
        <v>0</v>
      </c>
      <c r="G30" s="20">
        <f>F30+1</f>
        <v>0</v>
      </c>
      <c r="H30" s="21">
        <f>G30+1</f>
        <v>0</v>
      </c>
      <c r="J30" s="22">
        <f>"WEEK "&amp;TEXT(_xlfn.ISOWEEKNUM(B30+3),"00")</f>
        <v>0</v>
      </c>
    </row>
    <row r="31" spans="2:10" ht="12" customHeight="1">
      <c r="B31" s="23">
        <f>IFERROR(INDEX(Holidays!$B$6:$B$60,MATCH(B30,Holidays!$C$6:$C$60,0)),"")</f>
        <v>0</v>
      </c>
      <c r="C31" s="23">
        <f>IFERROR(INDEX(Holidays!$B$6:$B$60,MATCH(C30,Holidays!$C$6:$C$60,0)),"")</f>
        <v>0</v>
      </c>
      <c r="D31" s="23">
        <f>IFERROR(INDEX(Holidays!$B$6:$B$60,MATCH(D30,Holidays!$C$6:$C$60,0)),"")</f>
        <v>0</v>
      </c>
      <c r="E31" s="23">
        <f>IFERROR(INDEX(Holidays!$B$6:$B$60,MATCH(E30,Holidays!$C$6:$C$60,0)),"")</f>
        <v>0</v>
      </c>
      <c r="F31" s="23">
        <f>IFERROR(INDEX(Holidays!$B$6:$B$60,MATCH(F30,Holidays!$C$6:$C$60,0)),"")</f>
        <v>0</v>
      </c>
      <c r="G31" s="23">
        <f>IFERROR(INDEX(Holidays!$B$6:$B$60,MATCH(G30,Holidays!$C$6:$C$60,0)),"")</f>
        <v>0</v>
      </c>
      <c r="H31" s="24">
        <f>IFERROR(INDEX(Holidays!$B$6:$B$60,MATCH(H30,Holidays!$C$6:$C$60,0)),"")</f>
        <v>0</v>
      </c>
      <c r="J31" s="30"/>
    </row>
    <row r="32" spans="2:10" ht="18" customHeight="1">
      <c r="B32" s="26"/>
      <c r="C32" s="26"/>
      <c r="D32" s="26"/>
      <c r="E32" s="26"/>
      <c r="F32" s="26"/>
      <c r="G32" s="26"/>
      <c r="H32" s="27"/>
      <c r="J32" s="30"/>
    </row>
    <row r="33" spans="2:10" ht="18" customHeight="1">
      <c r="B33" s="26"/>
      <c r="C33" s="26"/>
      <c r="D33" s="26"/>
      <c r="E33" s="26"/>
      <c r="F33" s="26"/>
      <c r="G33" s="26"/>
      <c r="H33" s="27"/>
      <c r="J33" s="30"/>
    </row>
    <row r="34" spans="2:10" ht="18" customHeight="1">
      <c r="B34" s="31"/>
      <c r="C34" s="31"/>
      <c r="D34" s="31"/>
      <c r="E34" s="31"/>
      <c r="F34" s="31"/>
      <c r="G34" s="31"/>
      <c r="H34" s="32"/>
      <c r="J34" s="30"/>
    </row>
    <row r="35" spans="2:10" ht="16" customHeight="1">
      <c r="B35" s="33" t="s">
        <v>19</v>
      </c>
      <c r="C35" s="33"/>
      <c r="D35" s="33"/>
      <c r="E35" s="33"/>
      <c r="F35" s="33"/>
      <c r="G35" s="33"/>
      <c r="H35" s="33"/>
      <c r="I35" s="33"/>
      <c r="J35" s="33"/>
    </row>
  </sheetData>
  <mergeCells count="10">
    <mergeCell ref="B2:F2"/>
    <mergeCell ref="G2:H2"/>
    <mergeCell ref="B3:H3"/>
    <mergeCell ref="J6:J9"/>
    <mergeCell ref="J11:J14"/>
    <mergeCell ref="J16:J19"/>
    <mergeCell ref="J21:J24"/>
    <mergeCell ref="J26:J29"/>
    <mergeCell ref="J31:J34"/>
    <mergeCell ref="B35:J35"/>
  </mergeCells>
  <conditionalFormatting sqref="B10:H14">
    <cfRule type="expression" dxfId="4" priority="8" stopIfTrue="1">
      <formula>AND(ROW()=10,B$10=TODAY())</formula>
    </cfRule>
    <cfRule type="expression" dxfId="5" priority="9" stopIfTrue="1">
      <formula>AND(NOT(MONTH(B$10)=8),OR(WEEKDAY(B$10)=1,WEEKDAY(B$10)=7))</formula>
    </cfRule>
    <cfRule type="expression" dxfId="6" priority="10" stopIfTrue="1">
      <formula>NOT(MONTH(B$10)=8)</formula>
    </cfRule>
    <cfRule type="expression" dxfId="7" priority="11" stopIfTrue="1">
      <formula>AND(ROW()&lt;=11,COUNTIFS(INDIRECT("Holidays!$C$6:$C$60"),B$10,INDIRECT("Holidays!$D$6:$D$60"),"Holiday")&gt;0)</formula>
    </cfRule>
    <cfRule type="expression" dxfId="8" priority="12" stopIfTrue="1">
      <formula>COUNTIFS(INDIRECT("Holidays!$C$6:$C$60"),B$10,INDIRECT("Holidays!$D$6:$D$60"),"Holiday")&gt;0</formula>
    </cfRule>
    <cfRule type="expression" dxfId="8" priority="13" stopIfTrue="1">
      <formula>B$10=TODAY()</formula>
    </cfRule>
    <cfRule type="expression" dxfId="9" priority="14" stopIfTrue="1">
      <formula>OR(WEEKDAY(B$10)=1,WEEKDAY(B$10)=7)</formula>
    </cfRule>
  </conditionalFormatting>
  <conditionalFormatting sqref="B15:H19">
    <cfRule type="expression" dxfId="4" priority="15" stopIfTrue="1">
      <formula>AND(ROW()=15,B$15=TODAY())</formula>
    </cfRule>
    <cfRule type="expression" dxfId="5" priority="16" stopIfTrue="1">
      <formula>AND(NOT(MONTH(B$15)=8),OR(WEEKDAY(B$15)=1,WEEKDAY(B$15)=7))</formula>
    </cfRule>
    <cfRule type="expression" dxfId="6" priority="17" stopIfTrue="1">
      <formula>NOT(MONTH(B$15)=8)</formula>
    </cfRule>
    <cfRule type="expression" dxfId="7" priority="18" stopIfTrue="1">
      <formula>AND(ROW()&lt;=16,COUNTIFS(INDIRECT("Holidays!$C$6:$C$60"),B$15,INDIRECT("Holidays!$D$6:$D$60"),"Holiday")&gt;0)</formula>
    </cfRule>
    <cfRule type="expression" dxfId="8" priority="19" stopIfTrue="1">
      <formula>COUNTIFS(INDIRECT("Holidays!$C$6:$C$60"),B$15,INDIRECT("Holidays!$D$6:$D$60"),"Holiday")&gt;0</formula>
    </cfRule>
    <cfRule type="expression" dxfId="8" priority="20" stopIfTrue="1">
      <formula>B$15=TODAY()</formula>
    </cfRule>
    <cfRule type="expression" dxfId="9" priority="21" stopIfTrue="1">
      <formula>OR(WEEKDAY(B$15)=1,WEEKDAY(B$15)=7)</formula>
    </cfRule>
  </conditionalFormatting>
  <conditionalFormatting sqref="B20:H24">
    <cfRule type="expression" dxfId="4" priority="22" stopIfTrue="1">
      <formula>AND(ROW()=20,B$20=TODAY())</formula>
    </cfRule>
    <cfRule type="expression" dxfId="5" priority="23" stopIfTrue="1">
      <formula>AND(NOT(MONTH(B$20)=8),OR(WEEKDAY(B$20)=1,WEEKDAY(B$20)=7))</formula>
    </cfRule>
    <cfRule type="expression" dxfId="6" priority="24" stopIfTrue="1">
      <formula>NOT(MONTH(B$20)=8)</formula>
    </cfRule>
    <cfRule type="expression" dxfId="7" priority="25" stopIfTrue="1">
      <formula>AND(ROW()&lt;=21,COUNTIFS(INDIRECT("Holidays!$C$6:$C$60"),B$20,INDIRECT("Holidays!$D$6:$D$60"),"Holiday")&gt;0)</formula>
    </cfRule>
    <cfRule type="expression" dxfId="8" priority="26" stopIfTrue="1">
      <formula>COUNTIFS(INDIRECT("Holidays!$C$6:$C$60"),B$20,INDIRECT("Holidays!$D$6:$D$60"),"Holiday")&gt;0</formula>
    </cfRule>
    <cfRule type="expression" dxfId="8" priority="27" stopIfTrue="1">
      <formula>B$20=TODAY()</formula>
    </cfRule>
    <cfRule type="expression" dxfId="9" priority="28" stopIfTrue="1">
      <formula>OR(WEEKDAY(B$20)=1,WEEKDAY(B$20)=7)</formula>
    </cfRule>
  </conditionalFormatting>
  <conditionalFormatting sqref="B25:H29">
    <cfRule type="expression" dxfId="4" priority="29" stopIfTrue="1">
      <formula>AND(ROW()=25,B$25=TODAY())</formula>
    </cfRule>
    <cfRule type="expression" dxfId="5" priority="30" stopIfTrue="1">
      <formula>AND(NOT(MONTH(B$25)=8),OR(WEEKDAY(B$25)=1,WEEKDAY(B$25)=7))</formula>
    </cfRule>
    <cfRule type="expression" dxfId="6" priority="31" stopIfTrue="1">
      <formula>NOT(MONTH(B$25)=8)</formula>
    </cfRule>
    <cfRule type="expression" dxfId="7" priority="32" stopIfTrue="1">
      <formula>AND(ROW()&lt;=26,COUNTIFS(INDIRECT("Holidays!$C$6:$C$60"),B$25,INDIRECT("Holidays!$D$6:$D$60"),"Holiday")&gt;0)</formula>
    </cfRule>
    <cfRule type="expression" dxfId="8" priority="33" stopIfTrue="1">
      <formula>COUNTIFS(INDIRECT("Holidays!$C$6:$C$60"),B$25,INDIRECT("Holidays!$D$6:$D$60"),"Holiday")&gt;0</formula>
    </cfRule>
    <cfRule type="expression" dxfId="8" priority="34" stopIfTrue="1">
      <formula>B$25=TODAY()</formula>
    </cfRule>
    <cfRule type="expression" dxfId="9" priority="35" stopIfTrue="1">
      <formula>OR(WEEKDAY(B$25)=1,WEEKDAY(B$25)=7)</formula>
    </cfRule>
  </conditionalFormatting>
  <conditionalFormatting sqref="B30:H34">
    <cfRule type="expression" dxfId="4" priority="36" stopIfTrue="1">
      <formula>AND(ROW()=30,B$30=TODAY())</formula>
    </cfRule>
    <cfRule type="expression" dxfId="5" priority="37" stopIfTrue="1">
      <formula>AND(NOT(MONTH(B$30)=8),OR(WEEKDAY(B$30)=1,WEEKDAY(B$30)=7))</formula>
    </cfRule>
    <cfRule type="expression" dxfId="6" priority="38" stopIfTrue="1">
      <formula>NOT(MONTH(B$30)=8)</formula>
    </cfRule>
    <cfRule type="expression" dxfId="7" priority="39" stopIfTrue="1">
      <formula>AND(ROW()&lt;=31,COUNTIFS(INDIRECT("Holidays!$C$6:$C$60"),B$30,INDIRECT("Holidays!$D$6:$D$60"),"Holiday")&gt;0)</formula>
    </cfRule>
    <cfRule type="expression" dxfId="8" priority="40" stopIfTrue="1">
      <formula>COUNTIFS(INDIRECT("Holidays!$C$6:$C$60"),B$30,INDIRECT("Holidays!$D$6:$D$60"),"Holiday")&gt;0</formula>
    </cfRule>
    <cfRule type="expression" dxfId="8" priority="41" stopIfTrue="1">
      <formula>B$30=TODAY()</formula>
    </cfRule>
    <cfRule type="expression" dxfId="9" priority="42" stopIfTrue="1">
      <formula>OR(WEEKDAY(B$30)=1,WEEKDAY(B$30)=7)</formula>
    </cfRule>
  </conditionalFormatting>
  <conditionalFormatting sqref="B5:H9">
    <cfRule type="expression" dxfId="4" priority="1" stopIfTrue="1">
      <formula>AND(ROW()=5,B$5=TODAY())</formula>
    </cfRule>
    <cfRule type="expression" dxfId="5" priority="2" stopIfTrue="1">
      <formula>AND(NOT(MONTH(B$5)=8),OR(WEEKDAY(B$5)=1,WEEKDAY(B$5)=7))</formula>
    </cfRule>
    <cfRule type="expression" dxfId="6" priority="3" stopIfTrue="1">
      <formula>NOT(MONTH(B$5)=8)</formula>
    </cfRule>
    <cfRule type="expression" dxfId="7" priority="4" stopIfTrue="1">
      <formula>AND(ROW()&lt;=6,COUNTIFS(INDIRECT("Holidays!$C$6:$C$60"),B$5,INDIRECT("Holidays!$D$6:$D$60"),"Holiday")&gt;0)</formula>
    </cfRule>
    <cfRule type="expression" dxfId="8" priority="5" stopIfTrue="1">
      <formula>COUNTIFS(INDIRECT("Holidays!$C$6:$C$60"),B$5,INDIRECT("Holidays!$D$6:$D$60"),"Holiday")&gt;0</formula>
    </cfRule>
    <cfRule type="expression" dxfId="8" priority="6" stopIfTrue="1">
      <formula>B$5=TODAY()</formula>
    </cfRule>
    <cfRule type="expression" dxfId="9" priority="7" stopIfTrue="1">
      <formula>OR(WEEKDAY(B$5)=1,WEEKDAY(B$5)=7)</formula>
    </cfRule>
  </conditionalFormatting>
  <printOptions horizontalCentered="1"/>
  <pageMargins left="0.4" right="0.4" top="0.4" bottom="0.4" header="0.3" footer="0.3"/>
  <pageSetup orientation="landscape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8" width="17.7109375" customWidth="1"/>
    <col min="9" max="9" width="2.28515625" customWidth="1"/>
    <col min="10" max="10" width="24.7109375" customWidth="1"/>
    <col min="11" max="11" width="2.28515625" customWidth="1"/>
  </cols>
  <sheetData>
    <row r="1" spans="2:10" ht="8" customHeight="1"/>
    <row r="2" spans="2:10" ht="46" customHeight="1">
      <c r="B2" s="38" t="s">
        <v>12</v>
      </c>
      <c r="C2" s="38"/>
      <c r="D2" s="38"/>
      <c r="E2" s="38"/>
      <c r="F2" s="38"/>
      <c r="G2" s="39">
        <f>CalYear</f>
        <v>0</v>
      </c>
      <c r="H2" s="39"/>
    </row>
    <row r="3" spans="2:10" ht="18" customHeight="1">
      <c r="B3" s="17" t="s">
        <v>17</v>
      </c>
      <c r="C3" s="17"/>
      <c r="D3" s="17"/>
      <c r="E3" s="17"/>
      <c r="F3" s="17"/>
      <c r="G3" s="17"/>
      <c r="H3" s="17"/>
    </row>
    <row r="4" spans="2:10" ht="22" customHeight="1">
      <c r="B4" s="40">
        <f>IF(WeekStart="Monday",CHOOSE(1,"MON","TUE","WED","THU","FRI","SAT","SUN"),CHOOSE(1,"SUN","MON","TUE","WED","THU","FRI","SAT"))</f>
        <v>0</v>
      </c>
      <c r="C4" s="40">
        <f>IF(WeekStart="Monday",CHOOSE(2,"MON","TUE","WED","THU","FRI","SAT","SUN"),CHOOSE(2,"SUN","MON","TUE","WED","THU","FRI","SAT"))</f>
        <v>0</v>
      </c>
      <c r="D4" s="40">
        <f>IF(WeekStart="Monday",CHOOSE(3,"MON","TUE","WED","THU","FRI","SAT","SUN"),CHOOSE(3,"SUN","MON","TUE","WED","THU","FRI","SAT"))</f>
        <v>0</v>
      </c>
      <c r="E4" s="40">
        <f>IF(WeekStart="Monday",CHOOSE(4,"MON","TUE","WED","THU","FRI","SAT","SUN"),CHOOSE(4,"SUN","MON","TUE","WED","THU","FRI","SAT"))</f>
        <v>0</v>
      </c>
      <c r="F4" s="40">
        <f>IF(WeekStart="Monday",CHOOSE(5,"MON","TUE","WED","THU","FRI","SAT","SUN"),CHOOSE(5,"SUN","MON","TUE","WED","THU","FRI","SAT"))</f>
        <v>0</v>
      </c>
      <c r="G4" s="40">
        <f>IF(WeekStart="Monday",CHOOSE(6,"MON","TUE","WED","THU","FRI","SAT","SUN"),CHOOSE(6,"SUN","MON","TUE","WED","THU","FRI","SAT"))</f>
        <v>0</v>
      </c>
      <c r="H4" s="40">
        <f>IF(WeekStart="Monday",CHOOSE(7,"MON","TUE","WED","THU","FRI","SAT","SUN"),CHOOSE(7,"SUN","MON","TUE","WED","THU","FRI","SAT"))</f>
        <v>0</v>
      </c>
      <c r="J4" s="41" t="s">
        <v>18</v>
      </c>
    </row>
    <row r="5" spans="2:10" ht="21" customHeight="1">
      <c r="B5" s="20">
        <f>DATE(CalYear,9,1)-WEEKDAY(DATE(CalYear,9,1),IF(WeekStart="Monday",2,1))+1</f>
        <v>0</v>
      </c>
      <c r="C5" s="20">
        <f>B5+1</f>
        <v>0</v>
      </c>
      <c r="D5" s="20">
        <f>C5+1</f>
        <v>0</v>
      </c>
      <c r="E5" s="20">
        <f>D5+1</f>
        <v>0</v>
      </c>
      <c r="F5" s="20">
        <f>E5+1</f>
        <v>0</v>
      </c>
      <c r="G5" s="20">
        <f>F5+1</f>
        <v>0</v>
      </c>
      <c r="H5" s="21">
        <f>G5+1</f>
        <v>0</v>
      </c>
      <c r="J5" s="22">
        <f>"WEEK "&amp;TEXT(_xlfn.ISOWEEKNUM(B5+3),"00")</f>
        <v>0</v>
      </c>
    </row>
    <row r="6" spans="2:10" ht="12" customHeight="1">
      <c r="B6" s="23">
        <f>IFERROR(INDEX(Holidays!$B$6:$B$60,MATCH(B5,Holidays!$C$6:$C$60,0)),"")</f>
        <v>0</v>
      </c>
      <c r="C6" s="23">
        <f>IFERROR(INDEX(Holidays!$B$6:$B$60,MATCH(C5,Holidays!$C$6:$C$60,0)),"")</f>
        <v>0</v>
      </c>
      <c r="D6" s="23">
        <f>IFERROR(INDEX(Holidays!$B$6:$B$60,MATCH(D5,Holidays!$C$6:$C$60,0)),"")</f>
        <v>0</v>
      </c>
      <c r="E6" s="23">
        <f>IFERROR(INDEX(Holidays!$B$6:$B$60,MATCH(E5,Holidays!$C$6:$C$60,0)),"")</f>
        <v>0</v>
      </c>
      <c r="F6" s="23">
        <f>IFERROR(INDEX(Holidays!$B$6:$B$60,MATCH(F5,Holidays!$C$6:$C$60,0)),"")</f>
        <v>0</v>
      </c>
      <c r="G6" s="23">
        <f>IFERROR(INDEX(Holidays!$B$6:$B$60,MATCH(G5,Holidays!$C$6:$C$60,0)),"")</f>
        <v>0</v>
      </c>
      <c r="H6" s="24">
        <f>IFERROR(INDEX(Holidays!$B$6:$B$60,MATCH(H5,Holidays!$C$6:$C$60,0)),"")</f>
        <v>0</v>
      </c>
      <c r="J6" s="25"/>
    </row>
    <row r="7" spans="2:10" ht="18" customHeight="1">
      <c r="B7" s="26"/>
      <c r="C7" s="26"/>
      <c r="D7" s="26"/>
      <c r="E7" s="26"/>
      <c r="F7" s="26"/>
      <c r="G7" s="26"/>
      <c r="H7" s="27"/>
      <c r="J7" s="25"/>
    </row>
    <row r="8" spans="2:10" ht="18" customHeight="1">
      <c r="B8" s="26"/>
      <c r="C8" s="26"/>
      <c r="D8" s="26"/>
      <c r="E8" s="26"/>
      <c r="F8" s="26"/>
      <c r="G8" s="26"/>
      <c r="H8" s="27"/>
      <c r="J8" s="25"/>
    </row>
    <row r="9" spans="2:10" ht="18" customHeight="1">
      <c r="B9" s="28"/>
      <c r="C9" s="28"/>
      <c r="D9" s="28"/>
      <c r="E9" s="28"/>
      <c r="F9" s="28"/>
      <c r="G9" s="28"/>
      <c r="H9" s="29"/>
      <c r="J9" s="25"/>
    </row>
    <row r="10" spans="2:10" ht="21" customHeight="1">
      <c r="B10" s="20">
        <f>H5+1</f>
        <v>0</v>
      </c>
      <c r="C10" s="20">
        <f>B10+1</f>
        <v>0</v>
      </c>
      <c r="D10" s="20">
        <f>C10+1</f>
        <v>0</v>
      </c>
      <c r="E10" s="20">
        <f>D10+1</f>
        <v>0</v>
      </c>
      <c r="F10" s="20">
        <f>E10+1</f>
        <v>0</v>
      </c>
      <c r="G10" s="20">
        <f>F10+1</f>
        <v>0</v>
      </c>
      <c r="H10" s="21">
        <f>G10+1</f>
        <v>0</v>
      </c>
      <c r="J10" s="22">
        <f>"WEEK "&amp;TEXT(_xlfn.ISOWEEKNUM(B10+3),"00")</f>
        <v>0</v>
      </c>
    </row>
    <row r="11" spans="2:10" ht="12" customHeight="1">
      <c r="B11" s="23">
        <f>IFERROR(INDEX(Holidays!$B$6:$B$60,MATCH(B10,Holidays!$C$6:$C$60,0)),"")</f>
        <v>0</v>
      </c>
      <c r="C11" s="23">
        <f>IFERROR(INDEX(Holidays!$B$6:$B$60,MATCH(C10,Holidays!$C$6:$C$60,0)),"")</f>
        <v>0</v>
      </c>
      <c r="D11" s="23">
        <f>IFERROR(INDEX(Holidays!$B$6:$B$60,MATCH(D10,Holidays!$C$6:$C$60,0)),"")</f>
        <v>0</v>
      </c>
      <c r="E11" s="23">
        <f>IFERROR(INDEX(Holidays!$B$6:$B$60,MATCH(E10,Holidays!$C$6:$C$60,0)),"")</f>
        <v>0</v>
      </c>
      <c r="F11" s="23">
        <f>IFERROR(INDEX(Holidays!$B$6:$B$60,MATCH(F10,Holidays!$C$6:$C$60,0)),"")</f>
        <v>0</v>
      </c>
      <c r="G11" s="23">
        <f>IFERROR(INDEX(Holidays!$B$6:$B$60,MATCH(G10,Holidays!$C$6:$C$60,0)),"")</f>
        <v>0</v>
      </c>
      <c r="H11" s="24">
        <f>IFERROR(INDEX(Holidays!$B$6:$B$60,MATCH(H10,Holidays!$C$6:$C$60,0)),"")</f>
        <v>0</v>
      </c>
      <c r="J11" s="25"/>
    </row>
    <row r="12" spans="2:10" ht="18" customHeight="1">
      <c r="B12" s="26"/>
      <c r="C12" s="26"/>
      <c r="D12" s="26"/>
      <c r="E12" s="26"/>
      <c r="F12" s="26"/>
      <c r="G12" s="26"/>
      <c r="H12" s="27"/>
      <c r="J12" s="25"/>
    </row>
    <row r="13" spans="2:10" ht="18" customHeight="1">
      <c r="B13" s="26"/>
      <c r="C13" s="26"/>
      <c r="D13" s="26"/>
      <c r="E13" s="26"/>
      <c r="F13" s="26"/>
      <c r="G13" s="26"/>
      <c r="H13" s="27"/>
      <c r="J13" s="25"/>
    </row>
    <row r="14" spans="2:10" ht="18" customHeight="1">
      <c r="B14" s="28"/>
      <c r="C14" s="28"/>
      <c r="D14" s="28"/>
      <c r="E14" s="28"/>
      <c r="F14" s="28"/>
      <c r="G14" s="28"/>
      <c r="H14" s="29"/>
      <c r="J14" s="25"/>
    </row>
    <row r="15" spans="2:10" ht="21" customHeight="1">
      <c r="B15" s="20">
        <f>H10+1</f>
        <v>0</v>
      </c>
      <c r="C15" s="20">
        <f>B15+1</f>
        <v>0</v>
      </c>
      <c r="D15" s="20">
        <f>C15+1</f>
        <v>0</v>
      </c>
      <c r="E15" s="20">
        <f>D15+1</f>
        <v>0</v>
      </c>
      <c r="F15" s="20">
        <f>E15+1</f>
        <v>0</v>
      </c>
      <c r="G15" s="20">
        <f>F15+1</f>
        <v>0</v>
      </c>
      <c r="H15" s="21">
        <f>G15+1</f>
        <v>0</v>
      </c>
      <c r="J15" s="22">
        <f>"WEEK "&amp;TEXT(_xlfn.ISOWEEKNUM(B15+3),"00")</f>
        <v>0</v>
      </c>
    </row>
    <row r="16" spans="2:10" ht="12" customHeight="1">
      <c r="B16" s="23">
        <f>IFERROR(INDEX(Holidays!$B$6:$B$60,MATCH(B15,Holidays!$C$6:$C$60,0)),"")</f>
        <v>0</v>
      </c>
      <c r="C16" s="23">
        <f>IFERROR(INDEX(Holidays!$B$6:$B$60,MATCH(C15,Holidays!$C$6:$C$60,0)),"")</f>
        <v>0</v>
      </c>
      <c r="D16" s="23">
        <f>IFERROR(INDEX(Holidays!$B$6:$B$60,MATCH(D15,Holidays!$C$6:$C$60,0)),"")</f>
        <v>0</v>
      </c>
      <c r="E16" s="23">
        <f>IFERROR(INDEX(Holidays!$B$6:$B$60,MATCH(E15,Holidays!$C$6:$C$60,0)),"")</f>
        <v>0</v>
      </c>
      <c r="F16" s="23">
        <f>IFERROR(INDEX(Holidays!$B$6:$B$60,MATCH(F15,Holidays!$C$6:$C$60,0)),"")</f>
        <v>0</v>
      </c>
      <c r="G16" s="23">
        <f>IFERROR(INDEX(Holidays!$B$6:$B$60,MATCH(G15,Holidays!$C$6:$C$60,0)),"")</f>
        <v>0</v>
      </c>
      <c r="H16" s="24">
        <f>IFERROR(INDEX(Holidays!$B$6:$B$60,MATCH(H15,Holidays!$C$6:$C$60,0)),"")</f>
        <v>0</v>
      </c>
      <c r="J16" s="25"/>
    </row>
    <row r="17" spans="2:10" ht="18" customHeight="1">
      <c r="B17" s="26"/>
      <c r="C17" s="26"/>
      <c r="D17" s="26"/>
      <c r="E17" s="26"/>
      <c r="F17" s="26"/>
      <c r="G17" s="26"/>
      <c r="H17" s="27"/>
      <c r="J17" s="25"/>
    </row>
    <row r="18" spans="2:10" ht="18" customHeight="1">
      <c r="B18" s="26"/>
      <c r="C18" s="26"/>
      <c r="D18" s="26"/>
      <c r="E18" s="26"/>
      <c r="F18" s="26"/>
      <c r="G18" s="26"/>
      <c r="H18" s="27"/>
      <c r="J18" s="25"/>
    </row>
    <row r="19" spans="2:10" ht="18" customHeight="1">
      <c r="B19" s="28"/>
      <c r="C19" s="28"/>
      <c r="D19" s="28"/>
      <c r="E19" s="28"/>
      <c r="F19" s="28"/>
      <c r="G19" s="28"/>
      <c r="H19" s="29"/>
      <c r="J19" s="25"/>
    </row>
    <row r="20" spans="2:10" ht="21" customHeight="1">
      <c r="B20" s="20">
        <f>H15+1</f>
        <v>0</v>
      </c>
      <c r="C20" s="20">
        <f>B20+1</f>
        <v>0</v>
      </c>
      <c r="D20" s="20">
        <f>C20+1</f>
        <v>0</v>
      </c>
      <c r="E20" s="20">
        <f>D20+1</f>
        <v>0</v>
      </c>
      <c r="F20" s="20">
        <f>E20+1</f>
        <v>0</v>
      </c>
      <c r="G20" s="20">
        <f>F20+1</f>
        <v>0</v>
      </c>
      <c r="H20" s="21">
        <f>G20+1</f>
        <v>0</v>
      </c>
      <c r="J20" s="22">
        <f>"WEEK "&amp;TEXT(_xlfn.ISOWEEKNUM(B20+3),"00")</f>
        <v>0</v>
      </c>
    </row>
    <row r="21" spans="2:10" ht="12" customHeight="1">
      <c r="B21" s="23">
        <f>IFERROR(INDEX(Holidays!$B$6:$B$60,MATCH(B20,Holidays!$C$6:$C$60,0)),"")</f>
        <v>0</v>
      </c>
      <c r="C21" s="23">
        <f>IFERROR(INDEX(Holidays!$B$6:$B$60,MATCH(C20,Holidays!$C$6:$C$60,0)),"")</f>
        <v>0</v>
      </c>
      <c r="D21" s="23">
        <f>IFERROR(INDEX(Holidays!$B$6:$B$60,MATCH(D20,Holidays!$C$6:$C$60,0)),"")</f>
        <v>0</v>
      </c>
      <c r="E21" s="23">
        <f>IFERROR(INDEX(Holidays!$B$6:$B$60,MATCH(E20,Holidays!$C$6:$C$60,0)),"")</f>
        <v>0</v>
      </c>
      <c r="F21" s="23">
        <f>IFERROR(INDEX(Holidays!$B$6:$B$60,MATCH(F20,Holidays!$C$6:$C$60,0)),"")</f>
        <v>0</v>
      </c>
      <c r="G21" s="23">
        <f>IFERROR(INDEX(Holidays!$B$6:$B$60,MATCH(G20,Holidays!$C$6:$C$60,0)),"")</f>
        <v>0</v>
      </c>
      <c r="H21" s="24">
        <f>IFERROR(INDEX(Holidays!$B$6:$B$60,MATCH(H20,Holidays!$C$6:$C$60,0)),"")</f>
        <v>0</v>
      </c>
      <c r="J21" s="25"/>
    </row>
    <row r="22" spans="2:10" ht="18" customHeight="1">
      <c r="B22" s="26"/>
      <c r="C22" s="26"/>
      <c r="D22" s="26"/>
      <c r="E22" s="26"/>
      <c r="F22" s="26"/>
      <c r="G22" s="26"/>
      <c r="H22" s="27"/>
      <c r="J22" s="25"/>
    </row>
    <row r="23" spans="2:10" ht="18" customHeight="1">
      <c r="B23" s="26"/>
      <c r="C23" s="26"/>
      <c r="D23" s="26"/>
      <c r="E23" s="26"/>
      <c r="F23" s="26"/>
      <c r="G23" s="26"/>
      <c r="H23" s="27"/>
      <c r="J23" s="25"/>
    </row>
    <row r="24" spans="2:10" ht="18" customHeight="1">
      <c r="B24" s="28"/>
      <c r="C24" s="28"/>
      <c r="D24" s="28"/>
      <c r="E24" s="28"/>
      <c r="F24" s="28"/>
      <c r="G24" s="28"/>
      <c r="H24" s="29"/>
      <c r="J24" s="25"/>
    </row>
    <row r="25" spans="2:10" ht="21" customHeight="1">
      <c r="B25" s="20">
        <f>H20+1</f>
        <v>0</v>
      </c>
      <c r="C25" s="20">
        <f>B25+1</f>
        <v>0</v>
      </c>
      <c r="D25" s="20">
        <f>C25+1</f>
        <v>0</v>
      </c>
      <c r="E25" s="20">
        <f>D25+1</f>
        <v>0</v>
      </c>
      <c r="F25" s="20">
        <f>E25+1</f>
        <v>0</v>
      </c>
      <c r="G25" s="20">
        <f>F25+1</f>
        <v>0</v>
      </c>
      <c r="H25" s="21">
        <f>G25+1</f>
        <v>0</v>
      </c>
      <c r="J25" s="22">
        <f>"WEEK "&amp;TEXT(_xlfn.ISOWEEKNUM(B25+3),"00")</f>
        <v>0</v>
      </c>
    </row>
    <row r="26" spans="2:10" ht="12" customHeight="1">
      <c r="B26" s="23">
        <f>IFERROR(INDEX(Holidays!$B$6:$B$60,MATCH(B25,Holidays!$C$6:$C$60,0)),"")</f>
        <v>0</v>
      </c>
      <c r="C26" s="23">
        <f>IFERROR(INDEX(Holidays!$B$6:$B$60,MATCH(C25,Holidays!$C$6:$C$60,0)),"")</f>
        <v>0</v>
      </c>
      <c r="D26" s="23">
        <f>IFERROR(INDEX(Holidays!$B$6:$B$60,MATCH(D25,Holidays!$C$6:$C$60,0)),"")</f>
        <v>0</v>
      </c>
      <c r="E26" s="23">
        <f>IFERROR(INDEX(Holidays!$B$6:$B$60,MATCH(E25,Holidays!$C$6:$C$60,0)),"")</f>
        <v>0</v>
      </c>
      <c r="F26" s="23">
        <f>IFERROR(INDEX(Holidays!$B$6:$B$60,MATCH(F25,Holidays!$C$6:$C$60,0)),"")</f>
        <v>0</v>
      </c>
      <c r="G26" s="23">
        <f>IFERROR(INDEX(Holidays!$B$6:$B$60,MATCH(G25,Holidays!$C$6:$C$60,0)),"")</f>
        <v>0</v>
      </c>
      <c r="H26" s="24">
        <f>IFERROR(INDEX(Holidays!$B$6:$B$60,MATCH(H25,Holidays!$C$6:$C$60,0)),"")</f>
        <v>0</v>
      </c>
      <c r="J26" s="25"/>
    </row>
    <row r="27" spans="2:10" ht="18" customHeight="1">
      <c r="B27" s="26"/>
      <c r="C27" s="26"/>
      <c r="D27" s="26"/>
      <c r="E27" s="26"/>
      <c r="F27" s="26"/>
      <c r="G27" s="26"/>
      <c r="H27" s="27"/>
      <c r="J27" s="25"/>
    </row>
    <row r="28" spans="2:10" ht="18" customHeight="1">
      <c r="B28" s="26"/>
      <c r="C28" s="26"/>
      <c r="D28" s="26"/>
      <c r="E28" s="26"/>
      <c r="F28" s="26"/>
      <c r="G28" s="26"/>
      <c r="H28" s="27"/>
      <c r="J28" s="25"/>
    </row>
    <row r="29" spans="2:10" ht="18" customHeight="1">
      <c r="B29" s="28"/>
      <c r="C29" s="28"/>
      <c r="D29" s="28"/>
      <c r="E29" s="28"/>
      <c r="F29" s="28"/>
      <c r="G29" s="28"/>
      <c r="H29" s="29"/>
      <c r="J29" s="25"/>
    </row>
    <row r="30" spans="2:10" ht="21" customHeight="1">
      <c r="B30" s="20">
        <f>H25+1</f>
        <v>0</v>
      </c>
      <c r="C30" s="20">
        <f>B30+1</f>
        <v>0</v>
      </c>
      <c r="D30" s="20">
        <f>C30+1</f>
        <v>0</v>
      </c>
      <c r="E30" s="20">
        <f>D30+1</f>
        <v>0</v>
      </c>
      <c r="F30" s="20">
        <f>E30+1</f>
        <v>0</v>
      </c>
      <c r="G30" s="20">
        <f>F30+1</f>
        <v>0</v>
      </c>
      <c r="H30" s="21">
        <f>G30+1</f>
        <v>0</v>
      </c>
      <c r="J30" s="22">
        <f>"WEEK "&amp;TEXT(_xlfn.ISOWEEKNUM(B30+3),"00")</f>
        <v>0</v>
      </c>
    </row>
    <row r="31" spans="2:10" ht="12" customHeight="1">
      <c r="B31" s="23">
        <f>IFERROR(INDEX(Holidays!$B$6:$B$60,MATCH(B30,Holidays!$C$6:$C$60,0)),"")</f>
        <v>0</v>
      </c>
      <c r="C31" s="23">
        <f>IFERROR(INDEX(Holidays!$B$6:$B$60,MATCH(C30,Holidays!$C$6:$C$60,0)),"")</f>
        <v>0</v>
      </c>
      <c r="D31" s="23">
        <f>IFERROR(INDEX(Holidays!$B$6:$B$60,MATCH(D30,Holidays!$C$6:$C$60,0)),"")</f>
        <v>0</v>
      </c>
      <c r="E31" s="23">
        <f>IFERROR(INDEX(Holidays!$B$6:$B$60,MATCH(E30,Holidays!$C$6:$C$60,0)),"")</f>
        <v>0</v>
      </c>
      <c r="F31" s="23">
        <f>IFERROR(INDEX(Holidays!$B$6:$B$60,MATCH(F30,Holidays!$C$6:$C$60,0)),"")</f>
        <v>0</v>
      </c>
      <c r="G31" s="23">
        <f>IFERROR(INDEX(Holidays!$B$6:$B$60,MATCH(G30,Holidays!$C$6:$C$60,0)),"")</f>
        <v>0</v>
      </c>
      <c r="H31" s="24">
        <f>IFERROR(INDEX(Holidays!$B$6:$B$60,MATCH(H30,Holidays!$C$6:$C$60,0)),"")</f>
        <v>0</v>
      </c>
      <c r="J31" s="30"/>
    </row>
    <row r="32" spans="2:10" ht="18" customHeight="1">
      <c r="B32" s="26"/>
      <c r="C32" s="26"/>
      <c r="D32" s="26"/>
      <c r="E32" s="26"/>
      <c r="F32" s="26"/>
      <c r="G32" s="26"/>
      <c r="H32" s="27"/>
      <c r="J32" s="30"/>
    </row>
    <row r="33" spans="2:10" ht="18" customHeight="1">
      <c r="B33" s="26"/>
      <c r="C33" s="26"/>
      <c r="D33" s="26"/>
      <c r="E33" s="26"/>
      <c r="F33" s="26"/>
      <c r="G33" s="26"/>
      <c r="H33" s="27"/>
      <c r="J33" s="30"/>
    </row>
    <row r="34" spans="2:10" ht="18" customHeight="1">
      <c r="B34" s="31"/>
      <c r="C34" s="31"/>
      <c r="D34" s="31"/>
      <c r="E34" s="31"/>
      <c r="F34" s="31"/>
      <c r="G34" s="31"/>
      <c r="H34" s="32"/>
      <c r="J34" s="30"/>
    </row>
    <row r="35" spans="2:10" ht="16" customHeight="1">
      <c r="B35" s="33" t="s">
        <v>19</v>
      </c>
      <c r="C35" s="33"/>
      <c r="D35" s="33"/>
      <c r="E35" s="33"/>
      <c r="F35" s="33"/>
      <c r="G35" s="33"/>
      <c r="H35" s="33"/>
      <c r="I35" s="33"/>
      <c r="J35" s="33"/>
    </row>
  </sheetData>
  <mergeCells count="10">
    <mergeCell ref="B2:F2"/>
    <mergeCell ref="G2:H2"/>
    <mergeCell ref="B3:H3"/>
    <mergeCell ref="J6:J9"/>
    <mergeCell ref="J11:J14"/>
    <mergeCell ref="J16:J19"/>
    <mergeCell ref="J21:J24"/>
    <mergeCell ref="J26:J29"/>
    <mergeCell ref="J31:J34"/>
    <mergeCell ref="B35:J35"/>
  </mergeCells>
  <conditionalFormatting sqref="B10:H14">
    <cfRule type="expression" dxfId="4" priority="8" stopIfTrue="1">
      <formula>AND(ROW()=10,B$10=TODAY())</formula>
    </cfRule>
    <cfRule type="expression" dxfId="5" priority="9" stopIfTrue="1">
      <formula>AND(NOT(MONTH(B$10)=9),OR(WEEKDAY(B$10)=1,WEEKDAY(B$10)=7))</formula>
    </cfRule>
    <cfRule type="expression" dxfId="6" priority="10" stopIfTrue="1">
      <formula>NOT(MONTH(B$10)=9)</formula>
    </cfRule>
    <cfRule type="expression" dxfId="7" priority="11" stopIfTrue="1">
      <formula>AND(ROW()&lt;=11,COUNTIFS(INDIRECT("Holidays!$C$6:$C$60"),B$10,INDIRECT("Holidays!$D$6:$D$60"),"Holiday")&gt;0)</formula>
    </cfRule>
    <cfRule type="expression" dxfId="8" priority="12" stopIfTrue="1">
      <formula>COUNTIFS(INDIRECT("Holidays!$C$6:$C$60"),B$10,INDIRECT("Holidays!$D$6:$D$60"),"Holiday")&gt;0</formula>
    </cfRule>
    <cfRule type="expression" dxfId="8" priority="13" stopIfTrue="1">
      <formula>B$10=TODAY()</formula>
    </cfRule>
    <cfRule type="expression" dxfId="9" priority="14" stopIfTrue="1">
      <formula>OR(WEEKDAY(B$10)=1,WEEKDAY(B$10)=7)</formula>
    </cfRule>
  </conditionalFormatting>
  <conditionalFormatting sqref="B15:H19">
    <cfRule type="expression" dxfId="4" priority="15" stopIfTrue="1">
      <formula>AND(ROW()=15,B$15=TODAY())</formula>
    </cfRule>
    <cfRule type="expression" dxfId="5" priority="16" stopIfTrue="1">
      <formula>AND(NOT(MONTH(B$15)=9),OR(WEEKDAY(B$15)=1,WEEKDAY(B$15)=7))</formula>
    </cfRule>
    <cfRule type="expression" dxfId="6" priority="17" stopIfTrue="1">
      <formula>NOT(MONTH(B$15)=9)</formula>
    </cfRule>
    <cfRule type="expression" dxfId="7" priority="18" stopIfTrue="1">
      <formula>AND(ROW()&lt;=16,COUNTIFS(INDIRECT("Holidays!$C$6:$C$60"),B$15,INDIRECT("Holidays!$D$6:$D$60"),"Holiday")&gt;0)</formula>
    </cfRule>
    <cfRule type="expression" dxfId="8" priority="19" stopIfTrue="1">
      <formula>COUNTIFS(INDIRECT("Holidays!$C$6:$C$60"),B$15,INDIRECT("Holidays!$D$6:$D$60"),"Holiday")&gt;0</formula>
    </cfRule>
    <cfRule type="expression" dxfId="8" priority="20" stopIfTrue="1">
      <formula>B$15=TODAY()</formula>
    </cfRule>
    <cfRule type="expression" dxfId="9" priority="21" stopIfTrue="1">
      <formula>OR(WEEKDAY(B$15)=1,WEEKDAY(B$15)=7)</formula>
    </cfRule>
  </conditionalFormatting>
  <conditionalFormatting sqref="B20:H24">
    <cfRule type="expression" dxfId="4" priority="22" stopIfTrue="1">
      <formula>AND(ROW()=20,B$20=TODAY())</formula>
    </cfRule>
    <cfRule type="expression" dxfId="5" priority="23" stopIfTrue="1">
      <formula>AND(NOT(MONTH(B$20)=9),OR(WEEKDAY(B$20)=1,WEEKDAY(B$20)=7))</formula>
    </cfRule>
    <cfRule type="expression" dxfId="6" priority="24" stopIfTrue="1">
      <formula>NOT(MONTH(B$20)=9)</formula>
    </cfRule>
    <cfRule type="expression" dxfId="7" priority="25" stopIfTrue="1">
      <formula>AND(ROW()&lt;=21,COUNTIFS(INDIRECT("Holidays!$C$6:$C$60"),B$20,INDIRECT("Holidays!$D$6:$D$60"),"Holiday")&gt;0)</formula>
    </cfRule>
    <cfRule type="expression" dxfId="8" priority="26" stopIfTrue="1">
      <formula>COUNTIFS(INDIRECT("Holidays!$C$6:$C$60"),B$20,INDIRECT("Holidays!$D$6:$D$60"),"Holiday")&gt;0</formula>
    </cfRule>
    <cfRule type="expression" dxfId="8" priority="27" stopIfTrue="1">
      <formula>B$20=TODAY()</formula>
    </cfRule>
    <cfRule type="expression" dxfId="9" priority="28" stopIfTrue="1">
      <formula>OR(WEEKDAY(B$20)=1,WEEKDAY(B$20)=7)</formula>
    </cfRule>
  </conditionalFormatting>
  <conditionalFormatting sqref="B25:H29">
    <cfRule type="expression" dxfId="4" priority="29" stopIfTrue="1">
      <formula>AND(ROW()=25,B$25=TODAY())</formula>
    </cfRule>
    <cfRule type="expression" dxfId="5" priority="30" stopIfTrue="1">
      <formula>AND(NOT(MONTH(B$25)=9),OR(WEEKDAY(B$25)=1,WEEKDAY(B$25)=7))</formula>
    </cfRule>
    <cfRule type="expression" dxfId="6" priority="31" stopIfTrue="1">
      <formula>NOT(MONTH(B$25)=9)</formula>
    </cfRule>
    <cfRule type="expression" dxfId="7" priority="32" stopIfTrue="1">
      <formula>AND(ROW()&lt;=26,COUNTIFS(INDIRECT("Holidays!$C$6:$C$60"),B$25,INDIRECT("Holidays!$D$6:$D$60"),"Holiday")&gt;0)</formula>
    </cfRule>
    <cfRule type="expression" dxfId="8" priority="33" stopIfTrue="1">
      <formula>COUNTIFS(INDIRECT("Holidays!$C$6:$C$60"),B$25,INDIRECT("Holidays!$D$6:$D$60"),"Holiday")&gt;0</formula>
    </cfRule>
    <cfRule type="expression" dxfId="8" priority="34" stopIfTrue="1">
      <formula>B$25=TODAY()</formula>
    </cfRule>
    <cfRule type="expression" dxfId="9" priority="35" stopIfTrue="1">
      <formula>OR(WEEKDAY(B$25)=1,WEEKDAY(B$25)=7)</formula>
    </cfRule>
  </conditionalFormatting>
  <conditionalFormatting sqref="B30:H34">
    <cfRule type="expression" dxfId="4" priority="36" stopIfTrue="1">
      <formula>AND(ROW()=30,B$30=TODAY())</formula>
    </cfRule>
    <cfRule type="expression" dxfId="5" priority="37" stopIfTrue="1">
      <formula>AND(NOT(MONTH(B$30)=9),OR(WEEKDAY(B$30)=1,WEEKDAY(B$30)=7))</formula>
    </cfRule>
    <cfRule type="expression" dxfId="6" priority="38" stopIfTrue="1">
      <formula>NOT(MONTH(B$30)=9)</formula>
    </cfRule>
    <cfRule type="expression" dxfId="7" priority="39" stopIfTrue="1">
      <formula>AND(ROW()&lt;=31,COUNTIFS(INDIRECT("Holidays!$C$6:$C$60"),B$30,INDIRECT("Holidays!$D$6:$D$60"),"Holiday")&gt;0)</formula>
    </cfRule>
    <cfRule type="expression" dxfId="8" priority="40" stopIfTrue="1">
      <formula>COUNTIFS(INDIRECT("Holidays!$C$6:$C$60"),B$30,INDIRECT("Holidays!$D$6:$D$60"),"Holiday")&gt;0</formula>
    </cfRule>
    <cfRule type="expression" dxfId="8" priority="41" stopIfTrue="1">
      <formula>B$30=TODAY()</formula>
    </cfRule>
    <cfRule type="expression" dxfId="9" priority="42" stopIfTrue="1">
      <formula>OR(WEEKDAY(B$30)=1,WEEKDAY(B$30)=7)</formula>
    </cfRule>
  </conditionalFormatting>
  <conditionalFormatting sqref="B5:H9">
    <cfRule type="expression" dxfId="4" priority="1" stopIfTrue="1">
      <formula>AND(ROW()=5,B$5=TODAY())</formula>
    </cfRule>
    <cfRule type="expression" dxfId="5" priority="2" stopIfTrue="1">
      <formula>AND(NOT(MONTH(B$5)=9),OR(WEEKDAY(B$5)=1,WEEKDAY(B$5)=7))</formula>
    </cfRule>
    <cfRule type="expression" dxfId="6" priority="3" stopIfTrue="1">
      <formula>NOT(MONTH(B$5)=9)</formula>
    </cfRule>
    <cfRule type="expression" dxfId="7" priority="4" stopIfTrue="1">
      <formula>AND(ROW()&lt;=6,COUNTIFS(INDIRECT("Holidays!$C$6:$C$60"),B$5,INDIRECT("Holidays!$D$6:$D$60"),"Holiday")&gt;0)</formula>
    </cfRule>
    <cfRule type="expression" dxfId="8" priority="5" stopIfTrue="1">
      <formula>COUNTIFS(INDIRECT("Holidays!$C$6:$C$60"),B$5,INDIRECT("Holidays!$D$6:$D$60"),"Holiday")&gt;0</formula>
    </cfRule>
    <cfRule type="expression" dxfId="8" priority="6" stopIfTrue="1">
      <formula>B$5=TODAY()</formula>
    </cfRule>
    <cfRule type="expression" dxfId="9" priority="7" stopIfTrue="1">
      <formula>OR(WEEKDAY(B$5)=1,WEEKDAY(B$5)=7)</formula>
    </cfRule>
  </conditionalFormatting>
  <printOptions horizontalCentered="1"/>
  <pageMargins left="0.4" right="0.4" top="0.4" bottom="0.4" header="0.3" footer="0.3"/>
  <pageSetup orientation="landscape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8" width="17.7109375" customWidth="1"/>
    <col min="9" max="9" width="2.28515625" customWidth="1"/>
    <col min="10" max="10" width="24.7109375" customWidth="1"/>
    <col min="11" max="11" width="2.28515625" customWidth="1"/>
  </cols>
  <sheetData>
    <row r="1" spans="2:10" ht="8" customHeight="1"/>
    <row r="2" spans="2:10" ht="46" customHeight="1">
      <c r="B2" s="42" t="s">
        <v>13</v>
      </c>
      <c r="C2" s="42"/>
      <c r="D2" s="42"/>
      <c r="E2" s="42"/>
      <c r="F2" s="42"/>
      <c r="G2" s="43">
        <f>CalYear</f>
        <v>0</v>
      </c>
      <c r="H2" s="43"/>
    </row>
    <row r="3" spans="2:10" ht="18" customHeight="1">
      <c r="B3" s="17" t="s">
        <v>17</v>
      </c>
      <c r="C3" s="17"/>
      <c r="D3" s="17"/>
      <c r="E3" s="17"/>
      <c r="F3" s="17"/>
      <c r="G3" s="17"/>
      <c r="H3" s="17"/>
    </row>
    <row r="4" spans="2:10" ht="22" customHeight="1">
      <c r="B4" s="44">
        <f>IF(WeekStart="Monday",CHOOSE(1,"MON","TUE","WED","THU","FRI","SAT","SUN"),CHOOSE(1,"SUN","MON","TUE","WED","THU","FRI","SAT"))</f>
        <v>0</v>
      </c>
      <c r="C4" s="44">
        <f>IF(WeekStart="Monday",CHOOSE(2,"MON","TUE","WED","THU","FRI","SAT","SUN"),CHOOSE(2,"SUN","MON","TUE","WED","THU","FRI","SAT"))</f>
        <v>0</v>
      </c>
      <c r="D4" s="44">
        <f>IF(WeekStart="Monday",CHOOSE(3,"MON","TUE","WED","THU","FRI","SAT","SUN"),CHOOSE(3,"SUN","MON","TUE","WED","THU","FRI","SAT"))</f>
        <v>0</v>
      </c>
      <c r="E4" s="44">
        <f>IF(WeekStart="Monday",CHOOSE(4,"MON","TUE","WED","THU","FRI","SAT","SUN"),CHOOSE(4,"SUN","MON","TUE","WED","THU","FRI","SAT"))</f>
        <v>0</v>
      </c>
      <c r="F4" s="44">
        <f>IF(WeekStart="Monday",CHOOSE(5,"MON","TUE","WED","THU","FRI","SAT","SUN"),CHOOSE(5,"SUN","MON","TUE","WED","THU","FRI","SAT"))</f>
        <v>0</v>
      </c>
      <c r="G4" s="44">
        <f>IF(WeekStart="Monday",CHOOSE(6,"MON","TUE","WED","THU","FRI","SAT","SUN"),CHOOSE(6,"SUN","MON","TUE","WED","THU","FRI","SAT"))</f>
        <v>0</v>
      </c>
      <c r="H4" s="44">
        <f>IF(WeekStart="Monday",CHOOSE(7,"MON","TUE","WED","THU","FRI","SAT","SUN"),CHOOSE(7,"SUN","MON","TUE","WED","THU","FRI","SAT"))</f>
        <v>0</v>
      </c>
      <c r="J4" s="45" t="s">
        <v>18</v>
      </c>
    </row>
    <row r="5" spans="2:10" ht="21" customHeight="1">
      <c r="B5" s="20">
        <f>DATE(CalYear,10,1)-WEEKDAY(DATE(CalYear,10,1),IF(WeekStart="Monday",2,1))+1</f>
        <v>0</v>
      </c>
      <c r="C5" s="20">
        <f>B5+1</f>
        <v>0</v>
      </c>
      <c r="D5" s="20">
        <f>C5+1</f>
        <v>0</v>
      </c>
      <c r="E5" s="20">
        <f>D5+1</f>
        <v>0</v>
      </c>
      <c r="F5" s="20">
        <f>E5+1</f>
        <v>0</v>
      </c>
      <c r="G5" s="20">
        <f>F5+1</f>
        <v>0</v>
      </c>
      <c r="H5" s="21">
        <f>G5+1</f>
        <v>0</v>
      </c>
      <c r="J5" s="22">
        <f>"WEEK "&amp;TEXT(_xlfn.ISOWEEKNUM(B5+3),"00")</f>
        <v>0</v>
      </c>
    </row>
    <row r="6" spans="2:10" ht="12" customHeight="1">
      <c r="B6" s="23">
        <f>IFERROR(INDEX(Holidays!$B$6:$B$60,MATCH(B5,Holidays!$C$6:$C$60,0)),"")</f>
        <v>0</v>
      </c>
      <c r="C6" s="23">
        <f>IFERROR(INDEX(Holidays!$B$6:$B$60,MATCH(C5,Holidays!$C$6:$C$60,0)),"")</f>
        <v>0</v>
      </c>
      <c r="D6" s="23">
        <f>IFERROR(INDEX(Holidays!$B$6:$B$60,MATCH(D5,Holidays!$C$6:$C$60,0)),"")</f>
        <v>0</v>
      </c>
      <c r="E6" s="23">
        <f>IFERROR(INDEX(Holidays!$B$6:$B$60,MATCH(E5,Holidays!$C$6:$C$60,0)),"")</f>
        <v>0</v>
      </c>
      <c r="F6" s="23">
        <f>IFERROR(INDEX(Holidays!$B$6:$B$60,MATCH(F5,Holidays!$C$6:$C$60,0)),"")</f>
        <v>0</v>
      </c>
      <c r="G6" s="23">
        <f>IFERROR(INDEX(Holidays!$B$6:$B$60,MATCH(G5,Holidays!$C$6:$C$60,0)),"")</f>
        <v>0</v>
      </c>
      <c r="H6" s="24">
        <f>IFERROR(INDEX(Holidays!$B$6:$B$60,MATCH(H5,Holidays!$C$6:$C$60,0)),"")</f>
        <v>0</v>
      </c>
      <c r="J6" s="25"/>
    </row>
    <row r="7" spans="2:10" ht="18" customHeight="1">
      <c r="B7" s="26"/>
      <c r="C7" s="26"/>
      <c r="D7" s="26"/>
      <c r="E7" s="26"/>
      <c r="F7" s="26"/>
      <c r="G7" s="26"/>
      <c r="H7" s="27"/>
      <c r="J7" s="25"/>
    </row>
    <row r="8" spans="2:10" ht="18" customHeight="1">
      <c r="B8" s="26"/>
      <c r="C8" s="26"/>
      <c r="D8" s="26"/>
      <c r="E8" s="26"/>
      <c r="F8" s="26"/>
      <c r="G8" s="26"/>
      <c r="H8" s="27"/>
      <c r="J8" s="25"/>
    </row>
    <row r="9" spans="2:10" ht="18" customHeight="1">
      <c r="B9" s="28"/>
      <c r="C9" s="28"/>
      <c r="D9" s="28"/>
      <c r="E9" s="28"/>
      <c r="F9" s="28"/>
      <c r="G9" s="28"/>
      <c r="H9" s="29"/>
      <c r="J9" s="25"/>
    </row>
    <row r="10" spans="2:10" ht="21" customHeight="1">
      <c r="B10" s="20">
        <f>H5+1</f>
        <v>0</v>
      </c>
      <c r="C10" s="20">
        <f>B10+1</f>
        <v>0</v>
      </c>
      <c r="D10" s="20">
        <f>C10+1</f>
        <v>0</v>
      </c>
      <c r="E10" s="20">
        <f>D10+1</f>
        <v>0</v>
      </c>
      <c r="F10" s="20">
        <f>E10+1</f>
        <v>0</v>
      </c>
      <c r="G10" s="20">
        <f>F10+1</f>
        <v>0</v>
      </c>
      <c r="H10" s="21">
        <f>G10+1</f>
        <v>0</v>
      </c>
      <c r="J10" s="22">
        <f>"WEEK "&amp;TEXT(_xlfn.ISOWEEKNUM(B10+3),"00")</f>
        <v>0</v>
      </c>
    </row>
    <row r="11" spans="2:10" ht="12" customHeight="1">
      <c r="B11" s="23">
        <f>IFERROR(INDEX(Holidays!$B$6:$B$60,MATCH(B10,Holidays!$C$6:$C$60,0)),"")</f>
        <v>0</v>
      </c>
      <c r="C11" s="23">
        <f>IFERROR(INDEX(Holidays!$B$6:$B$60,MATCH(C10,Holidays!$C$6:$C$60,0)),"")</f>
        <v>0</v>
      </c>
      <c r="D11" s="23">
        <f>IFERROR(INDEX(Holidays!$B$6:$B$60,MATCH(D10,Holidays!$C$6:$C$60,0)),"")</f>
        <v>0</v>
      </c>
      <c r="E11" s="23">
        <f>IFERROR(INDEX(Holidays!$B$6:$B$60,MATCH(E10,Holidays!$C$6:$C$60,0)),"")</f>
        <v>0</v>
      </c>
      <c r="F11" s="23">
        <f>IFERROR(INDEX(Holidays!$B$6:$B$60,MATCH(F10,Holidays!$C$6:$C$60,0)),"")</f>
        <v>0</v>
      </c>
      <c r="G11" s="23">
        <f>IFERROR(INDEX(Holidays!$B$6:$B$60,MATCH(G10,Holidays!$C$6:$C$60,0)),"")</f>
        <v>0</v>
      </c>
      <c r="H11" s="24">
        <f>IFERROR(INDEX(Holidays!$B$6:$B$60,MATCH(H10,Holidays!$C$6:$C$60,0)),"")</f>
        <v>0</v>
      </c>
      <c r="J11" s="25"/>
    </row>
    <row r="12" spans="2:10" ht="18" customHeight="1">
      <c r="B12" s="26"/>
      <c r="C12" s="26"/>
      <c r="D12" s="26"/>
      <c r="E12" s="26"/>
      <c r="F12" s="26"/>
      <c r="G12" s="26"/>
      <c r="H12" s="27"/>
      <c r="J12" s="25"/>
    </row>
    <row r="13" spans="2:10" ht="18" customHeight="1">
      <c r="B13" s="26"/>
      <c r="C13" s="26"/>
      <c r="D13" s="26"/>
      <c r="E13" s="26"/>
      <c r="F13" s="26"/>
      <c r="G13" s="26"/>
      <c r="H13" s="27"/>
      <c r="J13" s="25"/>
    </row>
    <row r="14" spans="2:10" ht="18" customHeight="1">
      <c r="B14" s="28"/>
      <c r="C14" s="28"/>
      <c r="D14" s="28"/>
      <c r="E14" s="28"/>
      <c r="F14" s="28"/>
      <c r="G14" s="28"/>
      <c r="H14" s="29"/>
      <c r="J14" s="25"/>
    </row>
    <row r="15" spans="2:10" ht="21" customHeight="1">
      <c r="B15" s="20">
        <f>H10+1</f>
        <v>0</v>
      </c>
      <c r="C15" s="20">
        <f>B15+1</f>
        <v>0</v>
      </c>
      <c r="D15" s="20">
        <f>C15+1</f>
        <v>0</v>
      </c>
      <c r="E15" s="20">
        <f>D15+1</f>
        <v>0</v>
      </c>
      <c r="F15" s="20">
        <f>E15+1</f>
        <v>0</v>
      </c>
      <c r="G15" s="20">
        <f>F15+1</f>
        <v>0</v>
      </c>
      <c r="H15" s="21">
        <f>G15+1</f>
        <v>0</v>
      </c>
      <c r="J15" s="22">
        <f>"WEEK "&amp;TEXT(_xlfn.ISOWEEKNUM(B15+3),"00")</f>
        <v>0</v>
      </c>
    </row>
    <row r="16" spans="2:10" ht="12" customHeight="1">
      <c r="B16" s="23">
        <f>IFERROR(INDEX(Holidays!$B$6:$B$60,MATCH(B15,Holidays!$C$6:$C$60,0)),"")</f>
        <v>0</v>
      </c>
      <c r="C16" s="23">
        <f>IFERROR(INDEX(Holidays!$B$6:$B$60,MATCH(C15,Holidays!$C$6:$C$60,0)),"")</f>
        <v>0</v>
      </c>
      <c r="D16" s="23">
        <f>IFERROR(INDEX(Holidays!$B$6:$B$60,MATCH(D15,Holidays!$C$6:$C$60,0)),"")</f>
        <v>0</v>
      </c>
      <c r="E16" s="23">
        <f>IFERROR(INDEX(Holidays!$B$6:$B$60,MATCH(E15,Holidays!$C$6:$C$60,0)),"")</f>
        <v>0</v>
      </c>
      <c r="F16" s="23">
        <f>IFERROR(INDEX(Holidays!$B$6:$B$60,MATCH(F15,Holidays!$C$6:$C$60,0)),"")</f>
        <v>0</v>
      </c>
      <c r="G16" s="23">
        <f>IFERROR(INDEX(Holidays!$B$6:$B$60,MATCH(G15,Holidays!$C$6:$C$60,0)),"")</f>
        <v>0</v>
      </c>
      <c r="H16" s="24">
        <f>IFERROR(INDEX(Holidays!$B$6:$B$60,MATCH(H15,Holidays!$C$6:$C$60,0)),"")</f>
        <v>0</v>
      </c>
      <c r="J16" s="25"/>
    </row>
    <row r="17" spans="2:10" ht="18" customHeight="1">
      <c r="B17" s="26"/>
      <c r="C17" s="26"/>
      <c r="D17" s="26"/>
      <c r="E17" s="26"/>
      <c r="F17" s="26"/>
      <c r="G17" s="26"/>
      <c r="H17" s="27"/>
      <c r="J17" s="25"/>
    </row>
    <row r="18" spans="2:10" ht="18" customHeight="1">
      <c r="B18" s="26"/>
      <c r="C18" s="26"/>
      <c r="D18" s="26"/>
      <c r="E18" s="26"/>
      <c r="F18" s="26"/>
      <c r="G18" s="26"/>
      <c r="H18" s="27"/>
      <c r="J18" s="25"/>
    </row>
    <row r="19" spans="2:10" ht="18" customHeight="1">
      <c r="B19" s="28"/>
      <c r="C19" s="28"/>
      <c r="D19" s="28"/>
      <c r="E19" s="28"/>
      <c r="F19" s="28"/>
      <c r="G19" s="28"/>
      <c r="H19" s="29"/>
      <c r="J19" s="25"/>
    </row>
    <row r="20" spans="2:10" ht="21" customHeight="1">
      <c r="B20" s="20">
        <f>H15+1</f>
        <v>0</v>
      </c>
      <c r="C20" s="20">
        <f>B20+1</f>
        <v>0</v>
      </c>
      <c r="D20" s="20">
        <f>C20+1</f>
        <v>0</v>
      </c>
      <c r="E20" s="20">
        <f>D20+1</f>
        <v>0</v>
      </c>
      <c r="F20" s="20">
        <f>E20+1</f>
        <v>0</v>
      </c>
      <c r="G20" s="20">
        <f>F20+1</f>
        <v>0</v>
      </c>
      <c r="H20" s="21">
        <f>G20+1</f>
        <v>0</v>
      </c>
      <c r="J20" s="22">
        <f>"WEEK "&amp;TEXT(_xlfn.ISOWEEKNUM(B20+3),"00")</f>
        <v>0</v>
      </c>
    </row>
    <row r="21" spans="2:10" ht="12" customHeight="1">
      <c r="B21" s="23">
        <f>IFERROR(INDEX(Holidays!$B$6:$B$60,MATCH(B20,Holidays!$C$6:$C$60,0)),"")</f>
        <v>0</v>
      </c>
      <c r="C21" s="23">
        <f>IFERROR(INDEX(Holidays!$B$6:$B$60,MATCH(C20,Holidays!$C$6:$C$60,0)),"")</f>
        <v>0</v>
      </c>
      <c r="D21" s="23">
        <f>IFERROR(INDEX(Holidays!$B$6:$B$60,MATCH(D20,Holidays!$C$6:$C$60,0)),"")</f>
        <v>0</v>
      </c>
      <c r="E21" s="23">
        <f>IFERROR(INDEX(Holidays!$B$6:$B$60,MATCH(E20,Holidays!$C$6:$C$60,0)),"")</f>
        <v>0</v>
      </c>
      <c r="F21" s="23">
        <f>IFERROR(INDEX(Holidays!$B$6:$B$60,MATCH(F20,Holidays!$C$6:$C$60,0)),"")</f>
        <v>0</v>
      </c>
      <c r="G21" s="23">
        <f>IFERROR(INDEX(Holidays!$B$6:$B$60,MATCH(G20,Holidays!$C$6:$C$60,0)),"")</f>
        <v>0</v>
      </c>
      <c r="H21" s="24">
        <f>IFERROR(INDEX(Holidays!$B$6:$B$60,MATCH(H20,Holidays!$C$6:$C$60,0)),"")</f>
        <v>0</v>
      </c>
      <c r="J21" s="25"/>
    </row>
    <row r="22" spans="2:10" ht="18" customHeight="1">
      <c r="B22" s="26"/>
      <c r="C22" s="26"/>
      <c r="D22" s="26"/>
      <c r="E22" s="26"/>
      <c r="F22" s="26"/>
      <c r="G22" s="26"/>
      <c r="H22" s="27"/>
      <c r="J22" s="25"/>
    </row>
    <row r="23" spans="2:10" ht="18" customHeight="1">
      <c r="B23" s="26"/>
      <c r="C23" s="26"/>
      <c r="D23" s="26"/>
      <c r="E23" s="26"/>
      <c r="F23" s="26"/>
      <c r="G23" s="26"/>
      <c r="H23" s="27"/>
      <c r="J23" s="25"/>
    </row>
    <row r="24" spans="2:10" ht="18" customHeight="1">
      <c r="B24" s="28"/>
      <c r="C24" s="28"/>
      <c r="D24" s="28"/>
      <c r="E24" s="28"/>
      <c r="F24" s="28"/>
      <c r="G24" s="28"/>
      <c r="H24" s="29"/>
      <c r="J24" s="25"/>
    </row>
    <row r="25" spans="2:10" ht="21" customHeight="1">
      <c r="B25" s="20">
        <f>H20+1</f>
        <v>0</v>
      </c>
      <c r="C25" s="20">
        <f>B25+1</f>
        <v>0</v>
      </c>
      <c r="D25" s="20">
        <f>C25+1</f>
        <v>0</v>
      </c>
      <c r="E25" s="20">
        <f>D25+1</f>
        <v>0</v>
      </c>
      <c r="F25" s="20">
        <f>E25+1</f>
        <v>0</v>
      </c>
      <c r="G25" s="20">
        <f>F25+1</f>
        <v>0</v>
      </c>
      <c r="H25" s="21">
        <f>G25+1</f>
        <v>0</v>
      </c>
      <c r="J25" s="22">
        <f>"WEEK "&amp;TEXT(_xlfn.ISOWEEKNUM(B25+3),"00")</f>
        <v>0</v>
      </c>
    </row>
    <row r="26" spans="2:10" ht="12" customHeight="1">
      <c r="B26" s="23">
        <f>IFERROR(INDEX(Holidays!$B$6:$B$60,MATCH(B25,Holidays!$C$6:$C$60,0)),"")</f>
        <v>0</v>
      </c>
      <c r="C26" s="23">
        <f>IFERROR(INDEX(Holidays!$B$6:$B$60,MATCH(C25,Holidays!$C$6:$C$60,0)),"")</f>
        <v>0</v>
      </c>
      <c r="D26" s="23">
        <f>IFERROR(INDEX(Holidays!$B$6:$B$60,MATCH(D25,Holidays!$C$6:$C$60,0)),"")</f>
        <v>0</v>
      </c>
      <c r="E26" s="23">
        <f>IFERROR(INDEX(Holidays!$B$6:$B$60,MATCH(E25,Holidays!$C$6:$C$60,0)),"")</f>
        <v>0</v>
      </c>
      <c r="F26" s="23">
        <f>IFERROR(INDEX(Holidays!$B$6:$B$60,MATCH(F25,Holidays!$C$6:$C$60,0)),"")</f>
        <v>0</v>
      </c>
      <c r="G26" s="23">
        <f>IFERROR(INDEX(Holidays!$B$6:$B$60,MATCH(G25,Holidays!$C$6:$C$60,0)),"")</f>
        <v>0</v>
      </c>
      <c r="H26" s="24">
        <f>IFERROR(INDEX(Holidays!$B$6:$B$60,MATCH(H25,Holidays!$C$6:$C$60,0)),"")</f>
        <v>0</v>
      </c>
      <c r="J26" s="25"/>
    </row>
    <row r="27" spans="2:10" ht="18" customHeight="1">
      <c r="B27" s="26"/>
      <c r="C27" s="26"/>
      <c r="D27" s="26"/>
      <c r="E27" s="26"/>
      <c r="F27" s="26"/>
      <c r="G27" s="26"/>
      <c r="H27" s="27"/>
      <c r="J27" s="25"/>
    </row>
    <row r="28" spans="2:10" ht="18" customHeight="1">
      <c r="B28" s="26"/>
      <c r="C28" s="26"/>
      <c r="D28" s="26"/>
      <c r="E28" s="26"/>
      <c r="F28" s="26"/>
      <c r="G28" s="26"/>
      <c r="H28" s="27"/>
      <c r="J28" s="25"/>
    </row>
    <row r="29" spans="2:10" ht="18" customHeight="1">
      <c r="B29" s="28"/>
      <c r="C29" s="28"/>
      <c r="D29" s="28"/>
      <c r="E29" s="28"/>
      <c r="F29" s="28"/>
      <c r="G29" s="28"/>
      <c r="H29" s="29"/>
      <c r="J29" s="25"/>
    </row>
    <row r="30" spans="2:10" ht="21" customHeight="1">
      <c r="B30" s="20">
        <f>H25+1</f>
        <v>0</v>
      </c>
      <c r="C30" s="20">
        <f>B30+1</f>
        <v>0</v>
      </c>
      <c r="D30" s="20">
        <f>C30+1</f>
        <v>0</v>
      </c>
      <c r="E30" s="20">
        <f>D30+1</f>
        <v>0</v>
      </c>
      <c r="F30" s="20">
        <f>E30+1</f>
        <v>0</v>
      </c>
      <c r="G30" s="20">
        <f>F30+1</f>
        <v>0</v>
      </c>
      <c r="H30" s="21">
        <f>G30+1</f>
        <v>0</v>
      </c>
      <c r="J30" s="22">
        <f>"WEEK "&amp;TEXT(_xlfn.ISOWEEKNUM(B30+3),"00")</f>
        <v>0</v>
      </c>
    </row>
    <row r="31" spans="2:10" ht="12" customHeight="1">
      <c r="B31" s="23">
        <f>IFERROR(INDEX(Holidays!$B$6:$B$60,MATCH(B30,Holidays!$C$6:$C$60,0)),"")</f>
        <v>0</v>
      </c>
      <c r="C31" s="23">
        <f>IFERROR(INDEX(Holidays!$B$6:$B$60,MATCH(C30,Holidays!$C$6:$C$60,0)),"")</f>
        <v>0</v>
      </c>
      <c r="D31" s="23">
        <f>IFERROR(INDEX(Holidays!$B$6:$B$60,MATCH(D30,Holidays!$C$6:$C$60,0)),"")</f>
        <v>0</v>
      </c>
      <c r="E31" s="23">
        <f>IFERROR(INDEX(Holidays!$B$6:$B$60,MATCH(E30,Holidays!$C$6:$C$60,0)),"")</f>
        <v>0</v>
      </c>
      <c r="F31" s="23">
        <f>IFERROR(INDEX(Holidays!$B$6:$B$60,MATCH(F30,Holidays!$C$6:$C$60,0)),"")</f>
        <v>0</v>
      </c>
      <c r="G31" s="23">
        <f>IFERROR(INDEX(Holidays!$B$6:$B$60,MATCH(G30,Holidays!$C$6:$C$60,0)),"")</f>
        <v>0</v>
      </c>
      <c r="H31" s="24">
        <f>IFERROR(INDEX(Holidays!$B$6:$B$60,MATCH(H30,Holidays!$C$6:$C$60,0)),"")</f>
        <v>0</v>
      </c>
      <c r="J31" s="30"/>
    </row>
    <row r="32" spans="2:10" ht="18" customHeight="1">
      <c r="B32" s="26"/>
      <c r="C32" s="26"/>
      <c r="D32" s="26"/>
      <c r="E32" s="26"/>
      <c r="F32" s="26"/>
      <c r="G32" s="26"/>
      <c r="H32" s="27"/>
      <c r="J32" s="30"/>
    </row>
    <row r="33" spans="2:10" ht="18" customHeight="1">
      <c r="B33" s="26"/>
      <c r="C33" s="26"/>
      <c r="D33" s="26"/>
      <c r="E33" s="26"/>
      <c r="F33" s="26"/>
      <c r="G33" s="26"/>
      <c r="H33" s="27"/>
      <c r="J33" s="30"/>
    </row>
    <row r="34" spans="2:10" ht="18" customHeight="1">
      <c r="B34" s="31"/>
      <c r="C34" s="31"/>
      <c r="D34" s="31"/>
      <c r="E34" s="31"/>
      <c r="F34" s="31"/>
      <c r="G34" s="31"/>
      <c r="H34" s="32"/>
      <c r="J34" s="30"/>
    </row>
    <row r="35" spans="2:10" ht="16" customHeight="1">
      <c r="B35" s="33" t="s">
        <v>19</v>
      </c>
      <c r="C35" s="33"/>
      <c r="D35" s="33"/>
      <c r="E35" s="33"/>
      <c r="F35" s="33"/>
      <c r="G35" s="33"/>
      <c r="H35" s="33"/>
      <c r="I35" s="33"/>
      <c r="J35" s="33"/>
    </row>
  </sheetData>
  <mergeCells count="10">
    <mergeCell ref="B2:F2"/>
    <mergeCell ref="G2:H2"/>
    <mergeCell ref="B3:H3"/>
    <mergeCell ref="J6:J9"/>
    <mergeCell ref="J11:J14"/>
    <mergeCell ref="J16:J19"/>
    <mergeCell ref="J21:J24"/>
    <mergeCell ref="J26:J29"/>
    <mergeCell ref="J31:J34"/>
    <mergeCell ref="B35:J35"/>
  </mergeCells>
  <conditionalFormatting sqref="B10:H14">
    <cfRule type="expression" dxfId="4" priority="8" stopIfTrue="1">
      <formula>AND(ROW()=10,B$10=TODAY())</formula>
    </cfRule>
    <cfRule type="expression" dxfId="5" priority="9" stopIfTrue="1">
      <formula>AND(NOT(MONTH(B$10)=10),OR(WEEKDAY(B$10)=1,WEEKDAY(B$10)=7))</formula>
    </cfRule>
    <cfRule type="expression" dxfId="6" priority="10" stopIfTrue="1">
      <formula>NOT(MONTH(B$10)=10)</formula>
    </cfRule>
    <cfRule type="expression" dxfId="7" priority="11" stopIfTrue="1">
      <formula>AND(ROW()&lt;=11,COUNTIFS(INDIRECT("Holidays!$C$6:$C$60"),B$10,INDIRECT("Holidays!$D$6:$D$60"),"Holiday")&gt;0)</formula>
    </cfRule>
    <cfRule type="expression" dxfId="8" priority="12" stopIfTrue="1">
      <formula>COUNTIFS(INDIRECT("Holidays!$C$6:$C$60"),B$10,INDIRECT("Holidays!$D$6:$D$60"),"Holiday")&gt;0</formula>
    </cfRule>
    <cfRule type="expression" dxfId="8" priority="13" stopIfTrue="1">
      <formula>B$10=TODAY()</formula>
    </cfRule>
    <cfRule type="expression" dxfId="9" priority="14" stopIfTrue="1">
      <formula>OR(WEEKDAY(B$10)=1,WEEKDAY(B$10)=7)</formula>
    </cfRule>
  </conditionalFormatting>
  <conditionalFormatting sqref="B15:H19">
    <cfRule type="expression" dxfId="4" priority="15" stopIfTrue="1">
      <formula>AND(ROW()=15,B$15=TODAY())</formula>
    </cfRule>
    <cfRule type="expression" dxfId="5" priority="16" stopIfTrue="1">
      <formula>AND(NOT(MONTH(B$15)=10),OR(WEEKDAY(B$15)=1,WEEKDAY(B$15)=7))</formula>
    </cfRule>
    <cfRule type="expression" dxfId="6" priority="17" stopIfTrue="1">
      <formula>NOT(MONTH(B$15)=10)</formula>
    </cfRule>
    <cfRule type="expression" dxfId="7" priority="18" stopIfTrue="1">
      <formula>AND(ROW()&lt;=16,COUNTIFS(INDIRECT("Holidays!$C$6:$C$60"),B$15,INDIRECT("Holidays!$D$6:$D$60"),"Holiday")&gt;0)</formula>
    </cfRule>
    <cfRule type="expression" dxfId="8" priority="19" stopIfTrue="1">
      <formula>COUNTIFS(INDIRECT("Holidays!$C$6:$C$60"),B$15,INDIRECT("Holidays!$D$6:$D$60"),"Holiday")&gt;0</formula>
    </cfRule>
    <cfRule type="expression" dxfId="8" priority="20" stopIfTrue="1">
      <formula>B$15=TODAY()</formula>
    </cfRule>
    <cfRule type="expression" dxfId="9" priority="21" stopIfTrue="1">
      <formula>OR(WEEKDAY(B$15)=1,WEEKDAY(B$15)=7)</formula>
    </cfRule>
  </conditionalFormatting>
  <conditionalFormatting sqref="B20:H24">
    <cfRule type="expression" dxfId="4" priority="22" stopIfTrue="1">
      <formula>AND(ROW()=20,B$20=TODAY())</formula>
    </cfRule>
    <cfRule type="expression" dxfId="5" priority="23" stopIfTrue="1">
      <formula>AND(NOT(MONTH(B$20)=10),OR(WEEKDAY(B$20)=1,WEEKDAY(B$20)=7))</formula>
    </cfRule>
    <cfRule type="expression" dxfId="6" priority="24" stopIfTrue="1">
      <formula>NOT(MONTH(B$20)=10)</formula>
    </cfRule>
    <cfRule type="expression" dxfId="7" priority="25" stopIfTrue="1">
      <formula>AND(ROW()&lt;=21,COUNTIFS(INDIRECT("Holidays!$C$6:$C$60"),B$20,INDIRECT("Holidays!$D$6:$D$60"),"Holiday")&gt;0)</formula>
    </cfRule>
    <cfRule type="expression" dxfId="8" priority="26" stopIfTrue="1">
      <formula>COUNTIFS(INDIRECT("Holidays!$C$6:$C$60"),B$20,INDIRECT("Holidays!$D$6:$D$60"),"Holiday")&gt;0</formula>
    </cfRule>
    <cfRule type="expression" dxfId="8" priority="27" stopIfTrue="1">
      <formula>B$20=TODAY()</formula>
    </cfRule>
    <cfRule type="expression" dxfId="9" priority="28" stopIfTrue="1">
      <formula>OR(WEEKDAY(B$20)=1,WEEKDAY(B$20)=7)</formula>
    </cfRule>
  </conditionalFormatting>
  <conditionalFormatting sqref="B25:H29">
    <cfRule type="expression" dxfId="4" priority="29" stopIfTrue="1">
      <formula>AND(ROW()=25,B$25=TODAY())</formula>
    </cfRule>
    <cfRule type="expression" dxfId="5" priority="30" stopIfTrue="1">
      <formula>AND(NOT(MONTH(B$25)=10),OR(WEEKDAY(B$25)=1,WEEKDAY(B$25)=7))</formula>
    </cfRule>
    <cfRule type="expression" dxfId="6" priority="31" stopIfTrue="1">
      <formula>NOT(MONTH(B$25)=10)</formula>
    </cfRule>
    <cfRule type="expression" dxfId="7" priority="32" stopIfTrue="1">
      <formula>AND(ROW()&lt;=26,COUNTIFS(INDIRECT("Holidays!$C$6:$C$60"),B$25,INDIRECT("Holidays!$D$6:$D$60"),"Holiday")&gt;0)</formula>
    </cfRule>
    <cfRule type="expression" dxfId="8" priority="33" stopIfTrue="1">
      <formula>COUNTIFS(INDIRECT("Holidays!$C$6:$C$60"),B$25,INDIRECT("Holidays!$D$6:$D$60"),"Holiday")&gt;0</formula>
    </cfRule>
    <cfRule type="expression" dxfId="8" priority="34" stopIfTrue="1">
      <formula>B$25=TODAY()</formula>
    </cfRule>
    <cfRule type="expression" dxfId="9" priority="35" stopIfTrue="1">
      <formula>OR(WEEKDAY(B$25)=1,WEEKDAY(B$25)=7)</formula>
    </cfRule>
  </conditionalFormatting>
  <conditionalFormatting sqref="B30:H34">
    <cfRule type="expression" dxfId="4" priority="36" stopIfTrue="1">
      <formula>AND(ROW()=30,B$30=TODAY())</formula>
    </cfRule>
    <cfRule type="expression" dxfId="5" priority="37" stopIfTrue="1">
      <formula>AND(NOT(MONTH(B$30)=10),OR(WEEKDAY(B$30)=1,WEEKDAY(B$30)=7))</formula>
    </cfRule>
    <cfRule type="expression" dxfId="6" priority="38" stopIfTrue="1">
      <formula>NOT(MONTH(B$30)=10)</formula>
    </cfRule>
    <cfRule type="expression" dxfId="7" priority="39" stopIfTrue="1">
      <formula>AND(ROW()&lt;=31,COUNTIFS(INDIRECT("Holidays!$C$6:$C$60"),B$30,INDIRECT("Holidays!$D$6:$D$60"),"Holiday")&gt;0)</formula>
    </cfRule>
    <cfRule type="expression" dxfId="8" priority="40" stopIfTrue="1">
      <formula>COUNTIFS(INDIRECT("Holidays!$C$6:$C$60"),B$30,INDIRECT("Holidays!$D$6:$D$60"),"Holiday")&gt;0</formula>
    </cfRule>
    <cfRule type="expression" dxfId="8" priority="41" stopIfTrue="1">
      <formula>B$30=TODAY()</formula>
    </cfRule>
    <cfRule type="expression" dxfId="9" priority="42" stopIfTrue="1">
      <formula>OR(WEEKDAY(B$30)=1,WEEKDAY(B$30)=7)</formula>
    </cfRule>
  </conditionalFormatting>
  <conditionalFormatting sqref="B5:H9">
    <cfRule type="expression" dxfId="4" priority="1" stopIfTrue="1">
      <formula>AND(ROW()=5,B$5=TODAY())</formula>
    </cfRule>
    <cfRule type="expression" dxfId="5" priority="2" stopIfTrue="1">
      <formula>AND(NOT(MONTH(B$5)=10),OR(WEEKDAY(B$5)=1,WEEKDAY(B$5)=7))</formula>
    </cfRule>
    <cfRule type="expression" dxfId="6" priority="3" stopIfTrue="1">
      <formula>NOT(MONTH(B$5)=10)</formula>
    </cfRule>
    <cfRule type="expression" dxfId="7" priority="4" stopIfTrue="1">
      <formula>AND(ROW()&lt;=6,COUNTIFS(INDIRECT("Holidays!$C$6:$C$60"),B$5,INDIRECT("Holidays!$D$6:$D$60"),"Holiday")&gt;0)</formula>
    </cfRule>
    <cfRule type="expression" dxfId="8" priority="5" stopIfTrue="1">
      <formula>COUNTIFS(INDIRECT("Holidays!$C$6:$C$60"),B$5,INDIRECT("Holidays!$D$6:$D$60"),"Holiday")&gt;0</formula>
    </cfRule>
    <cfRule type="expression" dxfId="8" priority="6" stopIfTrue="1">
      <formula>B$5=TODAY()</formula>
    </cfRule>
    <cfRule type="expression" dxfId="9" priority="7" stopIfTrue="1">
      <formula>OR(WEEKDAY(B$5)=1,WEEKDAY(B$5)=7)</formula>
    </cfRule>
  </conditionalFormatting>
  <printOptions horizontalCentered="1"/>
  <pageMargins left="0.4" right="0.4" top="0.4" bottom="0.4" header="0.3" footer="0.3"/>
  <pageSetup orientation="landscape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8" width="17.7109375" customWidth="1"/>
    <col min="9" max="9" width="2.28515625" customWidth="1"/>
    <col min="10" max="10" width="24.7109375" customWidth="1"/>
    <col min="11" max="11" width="2.28515625" customWidth="1"/>
  </cols>
  <sheetData>
    <row r="1" spans="2:10" ht="8" customHeight="1"/>
    <row r="2" spans="2:10" ht="46" customHeight="1">
      <c r="B2" s="46" t="s">
        <v>14</v>
      </c>
      <c r="C2" s="46"/>
      <c r="D2" s="46"/>
      <c r="E2" s="46"/>
      <c r="F2" s="46"/>
      <c r="G2" s="47">
        <f>CalYear</f>
        <v>0</v>
      </c>
      <c r="H2" s="47"/>
    </row>
    <row r="3" spans="2:10" ht="18" customHeight="1">
      <c r="B3" s="17" t="s">
        <v>17</v>
      </c>
      <c r="C3" s="17"/>
      <c r="D3" s="17"/>
      <c r="E3" s="17"/>
      <c r="F3" s="17"/>
      <c r="G3" s="17"/>
      <c r="H3" s="17"/>
    </row>
    <row r="4" spans="2:10" ht="22" customHeight="1">
      <c r="B4" s="48">
        <f>IF(WeekStart="Monday",CHOOSE(1,"MON","TUE","WED","THU","FRI","SAT","SUN"),CHOOSE(1,"SUN","MON","TUE","WED","THU","FRI","SAT"))</f>
        <v>0</v>
      </c>
      <c r="C4" s="48">
        <f>IF(WeekStart="Monday",CHOOSE(2,"MON","TUE","WED","THU","FRI","SAT","SUN"),CHOOSE(2,"SUN","MON","TUE","WED","THU","FRI","SAT"))</f>
        <v>0</v>
      </c>
      <c r="D4" s="48">
        <f>IF(WeekStart="Monday",CHOOSE(3,"MON","TUE","WED","THU","FRI","SAT","SUN"),CHOOSE(3,"SUN","MON","TUE","WED","THU","FRI","SAT"))</f>
        <v>0</v>
      </c>
      <c r="E4" s="48">
        <f>IF(WeekStart="Monday",CHOOSE(4,"MON","TUE","WED","THU","FRI","SAT","SUN"),CHOOSE(4,"SUN","MON","TUE","WED","THU","FRI","SAT"))</f>
        <v>0</v>
      </c>
      <c r="F4" s="48">
        <f>IF(WeekStart="Monday",CHOOSE(5,"MON","TUE","WED","THU","FRI","SAT","SUN"),CHOOSE(5,"SUN","MON","TUE","WED","THU","FRI","SAT"))</f>
        <v>0</v>
      </c>
      <c r="G4" s="48">
        <f>IF(WeekStart="Monday",CHOOSE(6,"MON","TUE","WED","THU","FRI","SAT","SUN"),CHOOSE(6,"SUN","MON","TUE","WED","THU","FRI","SAT"))</f>
        <v>0</v>
      </c>
      <c r="H4" s="48">
        <f>IF(WeekStart="Monday",CHOOSE(7,"MON","TUE","WED","THU","FRI","SAT","SUN"),CHOOSE(7,"SUN","MON","TUE","WED","THU","FRI","SAT"))</f>
        <v>0</v>
      </c>
      <c r="J4" s="49" t="s">
        <v>18</v>
      </c>
    </row>
    <row r="5" spans="2:10" ht="21" customHeight="1">
      <c r="B5" s="20">
        <f>DATE(CalYear,11,1)-WEEKDAY(DATE(CalYear,11,1),IF(WeekStart="Monday",2,1))+1</f>
        <v>0</v>
      </c>
      <c r="C5" s="20">
        <f>B5+1</f>
        <v>0</v>
      </c>
      <c r="D5" s="20">
        <f>C5+1</f>
        <v>0</v>
      </c>
      <c r="E5" s="20">
        <f>D5+1</f>
        <v>0</v>
      </c>
      <c r="F5" s="20">
        <f>E5+1</f>
        <v>0</v>
      </c>
      <c r="G5" s="20">
        <f>F5+1</f>
        <v>0</v>
      </c>
      <c r="H5" s="21">
        <f>G5+1</f>
        <v>0</v>
      </c>
      <c r="J5" s="22">
        <f>"WEEK "&amp;TEXT(_xlfn.ISOWEEKNUM(B5+3),"00")</f>
        <v>0</v>
      </c>
    </row>
    <row r="6" spans="2:10" ht="12" customHeight="1">
      <c r="B6" s="23">
        <f>IFERROR(INDEX(Holidays!$B$6:$B$60,MATCH(B5,Holidays!$C$6:$C$60,0)),"")</f>
        <v>0</v>
      </c>
      <c r="C6" s="23">
        <f>IFERROR(INDEX(Holidays!$B$6:$B$60,MATCH(C5,Holidays!$C$6:$C$60,0)),"")</f>
        <v>0</v>
      </c>
      <c r="D6" s="23">
        <f>IFERROR(INDEX(Holidays!$B$6:$B$60,MATCH(D5,Holidays!$C$6:$C$60,0)),"")</f>
        <v>0</v>
      </c>
      <c r="E6" s="23">
        <f>IFERROR(INDEX(Holidays!$B$6:$B$60,MATCH(E5,Holidays!$C$6:$C$60,0)),"")</f>
        <v>0</v>
      </c>
      <c r="F6" s="23">
        <f>IFERROR(INDEX(Holidays!$B$6:$B$60,MATCH(F5,Holidays!$C$6:$C$60,0)),"")</f>
        <v>0</v>
      </c>
      <c r="G6" s="23">
        <f>IFERROR(INDEX(Holidays!$B$6:$B$60,MATCH(G5,Holidays!$C$6:$C$60,0)),"")</f>
        <v>0</v>
      </c>
      <c r="H6" s="24">
        <f>IFERROR(INDEX(Holidays!$B$6:$B$60,MATCH(H5,Holidays!$C$6:$C$60,0)),"")</f>
        <v>0</v>
      </c>
      <c r="J6" s="25"/>
    </row>
    <row r="7" spans="2:10" ht="18" customHeight="1">
      <c r="B7" s="26"/>
      <c r="C7" s="26"/>
      <c r="D7" s="26"/>
      <c r="E7" s="26"/>
      <c r="F7" s="26"/>
      <c r="G7" s="26"/>
      <c r="H7" s="27"/>
      <c r="J7" s="25"/>
    </row>
    <row r="8" spans="2:10" ht="18" customHeight="1">
      <c r="B8" s="26"/>
      <c r="C8" s="26"/>
      <c r="D8" s="26"/>
      <c r="E8" s="26"/>
      <c r="F8" s="26"/>
      <c r="G8" s="26"/>
      <c r="H8" s="27"/>
      <c r="J8" s="25"/>
    </row>
    <row r="9" spans="2:10" ht="18" customHeight="1">
      <c r="B9" s="28"/>
      <c r="C9" s="28"/>
      <c r="D9" s="28"/>
      <c r="E9" s="28"/>
      <c r="F9" s="28"/>
      <c r="G9" s="28"/>
      <c r="H9" s="29"/>
      <c r="J9" s="25"/>
    </row>
    <row r="10" spans="2:10" ht="21" customHeight="1">
      <c r="B10" s="20">
        <f>H5+1</f>
        <v>0</v>
      </c>
      <c r="C10" s="20">
        <f>B10+1</f>
        <v>0</v>
      </c>
      <c r="D10" s="20">
        <f>C10+1</f>
        <v>0</v>
      </c>
      <c r="E10" s="20">
        <f>D10+1</f>
        <v>0</v>
      </c>
      <c r="F10" s="20">
        <f>E10+1</f>
        <v>0</v>
      </c>
      <c r="G10" s="20">
        <f>F10+1</f>
        <v>0</v>
      </c>
      <c r="H10" s="21">
        <f>G10+1</f>
        <v>0</v>
      </c>
      <c r="J10" s="22">
        <f>"WEEK "&amp;TEXT(_xlfn.ISOWEEKNUM(B10+3),"00")</f>
        <v>0</v>
      </c>
    </row>
    <row r="11" spans="2:10" ht="12" customHeight="1">
      <c r="B11" s="23">
        <f>IFERROR(INDEX(Holidays!$B$6:$B$60,MATCH(B10,Holidays!$C$6:$C$60,0)),"")</f>
        <v>0</v>
      </c>
      <c r="C11" s="23">
        <f>IFERROR(INDEX(Holidays!$B$6:$B$60,MATCH(C10,Holidays!$C$6:$C$60,0)),"")</f>
        <v>0</v>
      </c>
      <c r="D11" s="23">
        <f>IFERROR(INDEX(Holidays!$B$6:$B$60,MATCH(D10,Holidays!$C$6:$C$60,0)),"")</f>
        <v>0</v>
      </c>
      <c r="E11" s="23">
        <f>IFERROR(INDEX(Holidays!$B$6:$B$60,MATCH(E10,Holidays!$C$6:$C$60,0)),"")</f>
        <v>0</v>
      </c>
      <c r="F11" s="23">
        <f>IFERROR(INDEX(Holidays!$B$6:$B$60,MATCH(F10,Holidays!$C$6:$C$60,0)),"")</f>
        <v>0</v>
      </c>
      <c r="G11" s="23">
        <f>IFERROR(INDEX(Holidays!$B$6:$B$60,MATCH(G10,Holidays!$C$6:$C$60,0)),"")</f>
        <v>0</v>
      </c>
      <c r="H11" s="24">
        <f>IFERROR(INDEX(Holidays!$B$6:$B$60,MATCH(H10,Holidays!$C$6:$C$60,0)),"")</f>
        <v>0</v>
      </c>
      <c r="J11" s="25"/>
    </row>
    <row r="12" spans="2:10" ht="18" customHeight="1">
      <c r="B12" s="26"/>
      <c r="C12" s="26"/>
      <c r="D12" s="26"/>
      <c r="E12" s="26"/>
      <c r="F12" s="26"/>
      <c r="G12" s="26"/>
      <c r="H12" s="27"/>
      <c r="J12" s="25"/>
    </row>
    <row r="13" spans="2:10" ht="18" customHeight="1">
      <c r="B13" s="26"/>
      <c r="C13" s="26"/>
      <c r="D13" s="26"/>
      <c r="E13" s="26"/>
      <c r="F13" s="26"/>
      <c r="G13" s="26"/>
      <c r="H13" s="27"/>
      <c r="J13" s="25"/>
    </row>
    <row r="14" spans="2:10" ht="18" customHeight="1">
      <c r="B14" s="28"/>
      <c r="C14" s="28"/>
      <c r="D14" s="28"/>
      <c r="E14" s="28"/>
      <c r="F14" s="28"/>
      <c r="G14" s="28"/>
      <c r="H14" s="29"/>
      <c r="J14" s="25"/>
    </row>
    <row r="15" spans="2:10" ht="21" customHeight="1">
      <c r="B15" s="20">
        <f>H10+1</f>
        <v>0</v>
      </c>
      <c r="C15" s="20">
        <f>B15+1</f>
        <v>0</v>
      </c>
      <c r="D15" s="20">
        <f>C15+1</f>
        <v>0</v>
      </c>
      <c r="E15" s="20">
        <f>D15+1</f>
        <v>0</v>
      </c>
      <c r="F15" s="20">
        <f>E15+1</f>
        <v>0</v>
      </c>
      <c r="G15" s="20">
        <f>F15+1</f>
        <v>0</v>
      </c>
      <c r="H15" s="21">
        <f>G15+1</f>
        <v>0</v>
      </c>
      <c r="J15" s="22">
        <f>"WEEK "&amp;TEXT(_xlfn.ISOWEEKNUM(B15+3),"00")</f>
        <v>0</v>
      </c>
    </row>
    <row r="16" spans="2:10" ht="12" customHeight="1">
      <c r="B16" s="23">
        <f>IFERROR(INDEX(Holidays!$B$6:$B$60,MATCH(B15,Holidays!$C$6:$C$60,0)),"")</f>
        <v>0</v>
      </c>
      <c r="C16" s="23">
        <f>IFERROR(INDEX(Holidays!$B$6:$B$60,MATCH(C15,Holidays!$C$6:$C$60,0)),"")</f>
        <v>0</v>
      </c>
      <c r="D16" s="23">
        <f>IFERROR(INDEX(Holidays!$B$6:$B$60,MATCH(D15,Holidays!$C$6:$C$60,0)),"")</f>
        <v>0</v>
      </c>
      <c r="E16" s="23">
        <f>IFERROR(INDEX(Holidays!$B$6:$B$60,MATCH(E15,Holidays!$C$6:$C$60,0)),"")</f>
        <v>0</v>
      </c>
      <c r="F16" s="23">
        <f>IFERROR(INDEX(Holidays!$B$6:$B$60,MATCH(F15,Holidays!$C$6:$C$60,0)),"")</f>
        <v>0</v>
      </c>
      <c r="G16" s="23">
        <f>IFERROR(INDEX(Holidays!$B$6:$B$60,MATCH(G15,Holidays!$C$6:$C$60,0)),"")</f>
        <v>0</v>
      </c>
      <c r="H16" s="24">
        <f>IFERROR(INDEX(Holidays!$B$6:$B$60,MATCH(H15,Holidays!$C$6:$C$60,0)),"")</f>
        <v>0</v>
      </c>
      <c r="J16" s="25"/>
    </row>
    <row r="17" spans="2:10" ht="18" customHeight="1">
      <c r="B17" s="26"/>
      <c r="C17" s="26"/>
      <c r="D17" s="26"/>
      <c r="E17" s="26"/>
      <c r="F17" s="26"/>
      <c r="G17" s="26"/>
      <c r="H17" s="27"/>
      <c r="J17" s="25"/>
    </row>
    <row r="18" spans="2:10" ht="18" customHeight="1">
      <c r="B18" s="26"/>
      <c r="C18" s="26"/>
      <c r="D18" s="26"/>
      <c r="E18" s="26"/>
      <c r="F18" s="26"/>
      <c r="G18" s="26"/>
      <c r="H18" s="27"/>
      <c r="J18" s="25"/>
    </row>
    <row r="19" spans="2:10" ht="18" customHeight="1">
      <c r="B19" s="28"/>
      <c r="C19" s="28"/>
      <c r="D19" s="28"/>
      <c r="E19" s="28"/>
      <c r="F19" s="28"/>
      <c r="G19" s="28"/>
      <c r="H19" s="29"/>
      <c r="J19" s="25"/>
    </row>
    <row r="20" spans="2:10" ht="21" customHeight="1">
      <c r="B20" s="20">
        <f>H15+1</f>
        <v>0</v>
      </c>
      <c r="C20" s="20">
        <f>B20+1</f>
        <v>0</v>
      </c>
      <c r="D20" s="20">
        <f>C20+1</f>
        <v>0</v>
      </c>
      <c r="E20" s="20">
        <f>D20+1</f>
        <v>0</v>
      </c>
      <c r="F20" s="20">
        <f>E20+1</f>
        <v>0</v>
      </c>
      <c r="G20" s="20">
        <f>F20+1</f>
        <v>0</v>
      </c>
      <c r="H20" s="21">
        <f>G20+1</f>
        <v>0</v>
      </c>
      <c r="J20" s="22">
        <f>"WEEK "&amp;TEXT(_xlfn.ISOWEEKNUM(B20+3),"00")</f>
        <v>0</v>
      </c>
    </row>
    <row r="21" spans="2:10" ht="12" customHeight="1">
      <c r="B21" s="23">
        <f>IFERROR(INDEX(Holidays!$B$6:$B$60,MATCH(B20,Holidays!$C$6:$C$60,0)),"")</f>
        <v>0</v>
      </c>
      <c r="C21" s="23">
        <f>IFERROR(INDEX(Holidays!$B$6:$B$60,MATCH(C20,Holidays!$C$6:$C$60,0)),"")</f>
        <v>0</v>
      </c>
      <c r="D21" s="23">
        <f>IFERROR(INDEX(Holidays!$B$6:$B$60,MATCH(D20,Holidays!$C$6:$C$60,0)),"")</f>
        <v>0</v>
      </c>
      <c r="E21" s="23">
        <f>IFERROR(INDEX(Holidays!$B$6:$B$60,MATCH(E20,Holidays!$C$6:$C$60,0)),"")</f>
        <v>0</v>
      </c>
      <c r="F21" s="23">
        <f>IFERROR(INDEX(Holidays!$B$6:$B$60,MATCH(F20,Holidays!$C$6:$C$60,0)),"")</f>
        <v>0</v>
      </c>
      <c r="G21" s="23">
        <f>IFERROR(INDEX(Holidays!$B$6:$B$60,MATCH(G20,Holidays!$C$6:$C$60,0)),"")</f>
        <v>0</v>
      </c>
      <c r="H21" s="24">
        <f>IFERROR(INDEX(Holidays!$B$6:$B$60,MATCH(H20,Holidays!$C$6:$C$60,0)),"")</f>
        <v>0</v>
      </c>
      <c r="J21" s="25"/>
    </row>
    <row r="22" spans="2:10" ht="18" customHeight="1">
      <c r="B22" s="26"/>
      <c r="C22" s="26"/>
      <c r="D22" s="26"/>
      <c r="E22" s="26"/>
      <c r="F22" s="26"/>
      <c r="G22" s="26"/>
      <c r="H22" s="27"/>
      <c r="J22" s="25"/>
    </row>
    <row r="23" spans="2:10" ht="18" customHeight="1">
      <c r="B23" s="26"/>
      <c r="C23" s="26"/>
      <c r="D23" s="26"/>
      <c r="E23" s="26"/>
      <c r="F23" s="26"/>
      <c r="G23" s="26"/>
      <c r="H23" s="27"/>
      <c r="J23" s="25"/>
    </row>
    <row r="24" spans="2:10" ht="18" customHeight="1">
      <c r="B24" s="28"/>
      <c r="C24" s="28"/>
      <c r="D24" s="28"/>
      <c r="E24" s="28"/>
      <c r="F24" s="28"/>
      <c r="G24" s="28"/>
      <c r="H24" s="29"/>
      <c r="J24" s="25"/>
    </row>
    <row r="25" spans="2:10" ht="21" customHeight="1">
      <c r="B25" s="20">
        <f>H20+1</f>
        <v>0</v>
      </c>
      <c r="C25" s="20">
        <f>B25+1</f>
        <v>0</v>
      </c>
      <c r="D25" s="20">
        <f>C25+1</f>
        <v>0</v>
      </c>
      <c r="E25" s="20">
        <f>D25+1</f>
        <v>0</v>
      </c>
      <c r="F25" s="20">
        <f>E25+1</f>
        <v>0</v>
      </c>
      <c r="G25" s="20">
        <f>F25+1</f>
        <v>0</v>
      </c>
      <c r="H25" s="21">
        <f>G25+1</f>
        <v>0</v>
      </c>
      <c r="J25" s="22">
        <f>"WEEK "&amp;TEXT(_xlfn.ISOWEEKNUM(B25+3),"00")</f>
        <v>0</v>
      </c>
    </row>
    <row r="26" spans="2:10" ht="12" customHeight="1">
      <c r="B26" s="23">
        <f>IFERROR(INDEX(Holidays!$B$6:$B$60,MATCH(B25,Holidays!$C$6:$C$60,0)),"")</f>
        <v>0</v>
      </c>
      <c r="C26" s="23">
        <f>IFERROR(INDEX(Holidays!$B$6:$B$60,MATCH(C25,Holidays!$C$6:$C$60,0)),"")</f>
        <v>0</v>
      </c>
      <c r="D26" s="23">
        <f>IFERROR(INDEX(Holidays!$B$6:$B$60,MATCH(D25,Holidays!$C$6:$C$60,0)),"")</f>
        <v>0</v>
      </c>
      <c r="E26" s="23">
        <f>IFERROR(INDEX(Holidays!$B$6:$B$60,MATCH(E25,Holidays!$C$6:$C$60,0)),"")</f>
        <v>0</v>
      </c>
      <c r="F26" s="23">
        <f>IFERROR(INDEX(Holidays!$B$6:$B$60,MATCH(F25,Holidays!$C$6:$C$60,0)),"")</f>
        <v>0</v>
      </c>
      <c r="G26" s="23">
        <f>IFERROR(INDEX(Holidays!$B$6:$B$60,MATCH(G25,Holidays!$C$6:$C$60,0)),"")</f>
        <v>0</v>
      </c>
      <c r="H26" s="24">
        <f>IFERROR(INDEX(Holidays!$B$6:$B$60,MATCH(H25,Holidays!$C$6:$C$60,0)),"")</f>
        <v>0</v>
      </c>
      <c r="J26" s="25"/>
    </row>
    <row r="27" spans="2:10" ht="18" customHeight="1">
      <c r="B27" s="26"/>
      <c r="C27" s="26"/>
      <c r="D27" s="26"/>
      <c r="E27" s="26"/>
      <c r="F27" s="26"/>
      <c r="G27" s="26"/>
      <c r="H27" s="27"/>
      <c r="J27" s="25"/>
    </row>
    <row r="28" spans="2:10" ht="18" customHeight="1">
      <c r="B28" s="26"/>
      <c r="C28" s="26"/>
      <c r="D28" s="26"/>
      <c r="E28" s="26"/>
      <c r="F28" s="26"/>
      <c r="G28" s="26"/>
      <c r="H28" s="27"/>
      <c r="J28" s="25"/>
    </row>
    <row r="29" spans="2:10" ht="18" customHeight="1">
      <c r="B29" s="28"/>
      <c r="C29" s="28"/>
      <c r="D29" s="28"/>
      <c r="E29" s="28"/>
      <c r="F29" s="28"/>
      <c r="G29" s="28"/>
      <c r="H29" s="29"/>
      <c r="J29" s="25"/>
    </row>
    <row r="30" spans="2:10" ht="21" customHeight="1">
      <c r="B30" s="20">
        <f>H25+1</f>
        <v>0</v>
      </c>
      <c r="C30" s="20">
        <f>B30+1</f>
        <v>0</v>
      </c>
      <c r="D30" s="20">
        <f>C30+1</f>
        <v>0</v>
      </c>
      <c r="E30" s="20">
        <f>D30+1</f>
        <v>0</v>
      </c>
      <c r="F30" s="20">
        <f>E30+1</f>
        <v>0</v>
      </c>
      <c r="G30" s="20">
        <f>F30+1</f>
        <v>0</v>
      </c>
      <c r="H30" s="21">
        <f>G30+1</f>
        <v>0</v>
      </c>
      <c r="J30" s="22">
        <f>"WEEK "&amp;TEXT(_xlfn.ISOWEEKNUM(B30+3),"00")</f>
        <v>0</v>
      </c>
    </row>
    <row r="31" spans="2:10" ht="12" customHeight="1">
      <c r="B31" s="23">
        <f>IFERROR(INDEX(Holidays!$B$6:$B$60,MATCH(B30,Holidays!$C$6:$C$60,0)),"")</f>
        <v>0</v>
      </c>
      <c r="C31" s="23">
        <f>IFERROR(INDEX(Holidays!$B$6:$B$60,MATCH(C30,Holidays!$C$6:$C$60,0)),"")</f>
        <v>0</v>
      </c>
      <c r="D31" s="23">
        <f>IFERROR(INDEX(Holidays!$B$6:$B$60,MATCH(D30,Holidays!$C$6:$C$60,0)),"")</f>
        <v>0</v>
      </c>
      <c r="E31" s="23">
        <f>IFERROR(INDEX(Holidays!$B$6:$B$60,MATCH(E30,Holidays!$C$6:$C$60,0)),"")</f>
        <v>0</v>
      </c>
      <c r="F31" s="23">
        <f>IFERROR(INDEX(Holidays!$B$6:$B$60,MATCH(F30,Holidays!$C$6:$C$60,0)),"")</f>
        <v>0</v>
      </c>
      <c r="G31" s="23">
        <f>IFERROR(INDEX(Holidays!$B$6:$B$60,MATCH(G30,Holidays!$C$6:$C$60,0)),"")</f>
        <v>0</v>
      </c>
      <c r="H31" s="24">
        <f>IFERROR(INDEX(Holidays!$B$6:$B$60,MATCH(H30,Holidays!$C$6:$C$60,0)),"")</f>
        <v>0</v>
      </c>
      <c r="J31" s="30"/>
    </row>
    <row r="32" spans="2:10" ht="18" customHeight="1">
      <c r="B32" s="26"/>
      <c r="C32" s="26"/>
      <c r="D32" s="26"/>
      <c r="E32" s="26"/>
      <c r="F32" s="26"/>
      <c r="G32" s="26"/>
      <c r="H32" s="27"/>
      <c r="J32" s="30"/>
    </row>
    <row r="33" spans="2:10" ht="18" customHeight="1">
      <c r="B33" s="26"/>
      <c r="C33" s="26"/>
      <c r="D33" s="26"/>
      <c r="E33" s="26"/>
      <c r="F33" s="26"/>
      <c r="G33" s="26"/>
      <c r="H33" s="27"/>
      <c r="J33" s="30"/>
    </row>
    <row r="34" spans="2:10" ht="18" customHeight="1">
      <c r="B34" s="31"/>
      <c r="C34" s="31"/>
      <c r="D34" s="31"/>
      <c r="E34" s="31"/>
      <c r="F34" s="31"/>
      <c r="G34" s="31"/>
      <c r="H34" s="32"/>
      <c r="J34" s="30"/>
    </row>
    <row r="35" spans="2:10" ht="16" customHeight="1">
      <c r="B35" s="33" t="s">
        <v>19</v>
      </c>
      <c r="C35" s="33"/>
      <c r="D35" s="33"/>
      <c r="E35" s="33"/>
      <c r="F35" s="33"/>
      <c r="G35" s="33"/>
      <c r="H35" s="33"/>
      <c r="I35" s="33"/>
      <c r="J35" s="33"/>
    </row>
  </sheetData>
  <mergeCells count="10">
    <mergeCell ref="B2:F2"/>
    <mergeCell ref="G2:H2"/>
    <mergeCell ref="B3:H3"/>
    <mergeCell ref="J6:J9"/>
    <mergeCell ref="J11:J14"/>
    <mergeCell ref="J16:J19"/>
    <mergeCell ref="J21:J24"/>
    <mergeCell ref="J26:J29"/>
    <mergeCell ref="J31:J34"/>
    <mergeCell ref="B35:J35"/>
  </mergeCells>
  <conditionalFormatting sqref="B10:H14">
    <cfRule type="expression" dxfId="4" priority="8" stopIfTrue="1">
      <formula>AND(ROW()=10,B$10=TODAY())</formula>
    </cfRule>
    <cfRule type="expression" dxfId="5" priority="9" stopIfTrue="1">
      <formula>AND(NOT(MONTH(B$10)=11),OR(WEEKDAY(B$10)=1,WEEKDAY(B$10)=7))</formula>
    </cfRule>
    <cfRule type="expression" dxfId="6" priority="10" stopIfTrue="1">
      <formula>NOT(MONTH(B$10)=11)</formula>
    </cfRule>
    <cfRule type="expression" dxfId="7" priority="11" stopIfTrue="1">
      <formula>AND(ROW()&lt;=11,COUNTIFS(INDIRECT("Holidays!$C$6:$C$60"),B$10,INDIRECT("Holidays!$D$6:$D$60"),"Holiday")&gt;0)</formula>
    </cfRule>
    <cfRule type="expression" dxfId="8" priority="12" stopIfTrue="1">
      <formula>COUNTIFS(INDIRECT("Holidays!$C$6:$C$60"),B$10,INDIRECT("Holidays!$D$6:$D$60"),"Holiday")&gt;0</formula>
    </cfRule>
    <cfRule type="expression" dxfId="8" priority="13" stopIfTrue="1">
      <formula>B$10=TODAY()</formula>
    </cfRule>
    <cfRule type="expression" dxfId="9" priority="14" stopIfTrue="1">
      <formula>OR(WEEKDAY(B$10)=1,WEEKDAY(B$10)=7)</formula>
    </cfRule>
  </conditionalFormatting>
  <conditionalFormatting sqref="B15:H19">
    <cfRule type="expression" dxfId="4" priority="15" stopIfTrue="1">
      <formula>AND(ROW()=15,B$15=TODAY())</formula>
    </cfRule>
    <cfRule type="expression" dxfId="5" priority="16" stopIfTrue="1">
      <formula>AND(NOT(MONTH(B$15)=11),OR(WEEKDAY(B$15)=1,WEEKDAY(B$15)=7))</formula>
    </cfRule>
    <cfRule type="expression" dxfId="6" priority="17" stopIfTrue="1">
      <formula>NOT(MONTH(B$15)=11)</formula>
    </cfRule>
    <cfRule type="expression" dxfId="7" priority="18" stopIfTrue="1">
      <formula>AND(ROW()&lt;=16,COUNTIFS(INDIRECT("Holidays!$C$6:$C$60"),B$15,INDIRECT("Holidays!$D$6:$D$60"),"Holiday")&gt;0)</formula>
    </cfRule>
    <cfRule type="expression" dxfId="8" priority="19" stopIfTrue="1">
      <formula>COUNTIFS(INDIRECT("Holidays!$C$6:$C$60"),B$15,INDIRECT("Holidays!$D$6:$D$60"),"Holiday")&gt;0</formula>
    </cfRule>
    <cfRule type="expression" dxfId="8" priority="20" stopIfTrue="1">
      <formula>B$15=TODAY()</formula>
    </cfRule>
    <cfRule type="expression" dxfId="9" priority="21" stopIfTrue="1">
      <formula>OR(WEEKDAY(B$15)=1,WEEKDAY(B$15)=7)</formula>
    </cfRule>
  </conditionalFormatting>
  <conditionalFormatting sqref="B20:H24">
    <cfRule type="expression" dxfId="4" priority="22" stopIfTrue="1">
      <formula>AND(ROW()=20,B$20=TODAY())</formula>
    </cfRule>
    <cfRule type="expression" dxfId="5" priority="23" stopIfTrue="1">
      <formula>AND(NOT(MONTH(B$20)=11),OR(WEEKDAY(B$20)=1,WEEKDAY(B$20)=7))</formula>
    </cfRule>
    <cfRule type="expression" dxfId="6" priority="24" stopIfTrue="1">
      <formula>NOT(MONTH(B$20)=11)</formula>
    </cfRule>
    <cfRule type="expression" dxfId="7" priority="25" stopIfTrue="1">
      <formula>AND(ROW()&lt;=21,COUNTIFS(INDIRECT("Holidays!$C$6:$C$60"),B$20,INDIRECT("Holidays!$D$6:$D$60"),"Holiday")&gt;0)</formula>
    </cfRule>
    <cfRule type="expression" dxfId="8" priority="26" stopIfTrue="1">
      <formula>COUNTIFS(INDIRECT("Holidays!$C$6:$C$60"),B$20,INDIRECT("Holidays!$D$6:$D$60"),"Holiday")&gt;0</formula>
    </cfRule>
    <cfRule type="expression" dxfId="8" priority="27" stopIfTrue="1">
      <formula>B$20=TODAY()</formula>
    </cfRule>
    <cfRule type="expression" dxfId="9" priority="28" stopIfTrue="1">
      <formula>OR(WEEKDAY(B$20)=1,WEEKDAY(B$20)=7)</formula>
    </cfRule>
  </conditionalFormatting>
  <conditionalFormatting sqref="B25:H29">
    <cfRule type="expression" dxfId="4" priority="29" stopIfTrue="1">
      <formula>AND(ROW()=25,B$25=TODAY())</formula>
    </cfRule>
    <cfRule type="expression" dxfId="5" priority="30" stopIfTrue="1">
      <formula>AND(NOT(MONTH(B$25)=11),OR(WEEKDAY(B$25)=1,WEEKDAY(B$25)=7))</formula>
    </cfRule>
    <cfRule type="expression" dxfId="6" priority="31" stopIfTrue="1">
      <formula>NOT(MONTH(B$25)=11)</formula>
    </cfRule>
    <cfRule type="expression" dxfId="7" priority="32" stopIfTrue="1">
      <formula>AND(ROW()&lt;=26,COUNTIFS(INDIRECT("Holidays!$C$6:$C$60"),B$25,INDIRECT("Holidays!$D$6:$D$60"),"Holiday")&gt;0)</formula>
    </cfRule>
    <cfRule type="expression" dxfId="8" priority="33" stopIfTrue="1">
      <formula>COUNTIFS(INDIRECT("Holidays!$C$6:$C$60"),B$25,INDIRECT("Holidays!$D$6:$D$60"),"Holiday")&gt;0</formula>
    </cfRule>
    <cfRule type="expression" dxfId="8" priority="34" stopIfTrue="1">
      <formula>B$25=TODAY()</formula>
    </cfRule>
    <cfRule type="expression" dxfId="9" priority="35" stopIfTrue="1">
      <formula>OR(WEEKDAY(B$25)=1,WEEKDAY(B$25)=7)</formula>
    </cfRule>
  </conditionalFormatting>
  <conditionalFormatting sqref="B30:H34">
    <cfRule type="expression" dxfId="4" priority="36" stopIfTrue="1">
      <formula>AND(ROW()=30,B$30=TODAY())</formula>
    </cfRule>
    <cfRule type="expression" dxfId="5" priority="37" stopIfTrue="1">
      <formula>AND(NOT(MONTH(B$30)=11),OR(WEEKDAY(B$30)=1,WEEKDAY(B$30)=7))</formula>
    </cfRule>
    <cfRule type="expression" dxfId="6" priority="38" stopIfTrue="1">
      <formula>NOT(MONTH(B$30)=11)</formula>
    </cfRule>
    <cfRule type="expression" dxfId="7" priority="39" stopIfTrue="1">
      <formula>AND(ROW()&lt;=31,COUNTIFS(INDIRECT("Holidays!$C$6:$C$60"),B$30,INDIRECT("Holidays!$D$6:$D$60"),"Holiday")&gt;0)</formula>
    </cfRule>
    <cfRule type="expression" dxfId="8" priority="40" stopIfTrue="1">
      <formula>COUNTIFS(INDIRECT("Holidays!$C$6:$C$60"),B$30,INDIRECT("Holidays!$D$6:$D$60"),"Holiday")&gt;0</formula>
    </cfRule>
    <cfRule type="expression" dxfId="8" priority="41" stopIfTrue="1">
      <formula>B$30=TODAY()</formula>
    </cfRule>
    <cfRule type="expression" dxfId="9" priority="42" stopIfTrue="1">
      <formula>OR(WEEKDAY(B$30)=1,WEEKDAY(B$30)=7)</formula>
    </cfRule>
  </conditionalFormatting>
  <conditionalFormatting sqref="B5:H9">
    <cfRule type="expression" dxfId="4" priority="1" stopIfTrue="1">
      <formula>AND(ROW()=5,B$5=TODAY())</formula>
    </cfRule>
    <cfRule type="expression" dxfId="5" priority="2" stopIfTrue="1">
      <formula>AND(NOT(MONTH(B$5)=11),OR(WEEKDAY(B$5)=1,WEEKDAY(B$5)=7))</formula>
    </cfRule>
    <cfRule type="expression" dxfId="6" priority="3" stopIfTrue="1">
      <formula>NOT(MONTH(B$5)=11)</formula>
    </cfRule>
    <cfRule type="expression" dxfId="7" priority="4" stopIfTrue="1">
      <formula>AND(ROW()&lt;=6,COUNTIFS(INDIRECT("Holidays!$C$6:$C$60"),B$5,INDIRECT("Holidays!$D$6:$D$60"),"Holiday")&gt;0)</formula>
    </cfRule>
    <cfRule type="expression" dxfId="8" priority="5" stopIfTrue="1">
      <formula>COUNTIFS(INDIRECT("Holidays!$C$6:$C$60"),B$5,INDIRECT("Holidays!$D$6:$D$60"),"Holiday")&gt;0</formula>
    </cfRule>
    <cfRule type="expression" dxfId="8" priority="6" stopIfTrue="1">
      <formula>B$5=TODAY()</formula>
    </cfRule>
    <cfRule type="expression" dxfId="9" priority="7" stopIfTrue="1">
      <formula>OR(WEEKDAY(B$5)=1,WEEKDAY(B$5)=7)</formula>
    </cfRule>
  </conditionalFormatting>
  <printOptions horizontalCentered="1"/>
  <pageMargins left="0.4" right="0.4" top="0.4" bottom="0.4" header="0.3" footer="0.3"/>
  <pageSetup orientation="landscape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8" width="17.7109375" customWidth="1"/>
    <col min="9" max="9" width="2.28515625" customWidth="1"/>
    <col min="10" max="10" width="24.7109375" customWidth="1"/>
    <col min="11" max="11" width="2.28515625" customWidth="1"/>
  </cols>
  <sheetData>
    <row r="1" spans="2:10" ht="8" customHeight="1"/>
    <row r="2" spans="2:10" ht="46" customHeight="1">
      <c r="B2" s="50" t="s">
        <v>15</v>
      </c>
      <c r="C2" s="50"/>
      <c r="D2" s="50"/>
      <c r="E2" s="50"/>
      <c r="F2" s="50"/>
      <c r="G2" s="51">
        <f>CalYear</f>
        <v>0</v>
      </c>
      <c r="H2" s="51"/>
    </row>
    <row r="3" spans="2:10" ht="18" customHeight="1">
      <c r="B3" s="17" t="s">
        <v>17</v>
      </c>
      <c r="C3" s="17"/>
      <c r="D3" s="17"/>
      <c r="E3" s="17"/>
      <c r="F3" s="17"/>
      <c r="G3" s="17"/>
      <c r="H3" s="17"/>
    </row>
    <row r="4" spans="2:10" ht="22" customHeight="1">
      <c r="B4" s="52">
        <f>IF(WeekStart="Monday",CHOOSE(1,"MON","TUE","WED","THU","FRI","SAT","SUN"),CHOOSE(1,"SUN","MON","TUE","WED","THU","FRI","SAT"))</f>
        <v>0</v>
      </c>
      <c r="C4" s="52">
        <f>IF(WeekStart="Monday",CHOOSE(2,"MON","TUE","WED","THU","FRI","SAT","SUN"),CHOOSE(2,"SUN","MON","TUE","WED","THU","FRI","SAT"))</f>
        <v>0</v>
      </c>
      <c r="D4" s="52">
        <f>IF(WeekStart="Monday",CHOOSE(3,"MON","TUE","WED","THU","FRI","SAT","SUN"),CHOOSE(3,"SUN","MON","TUE","WED","THU","FRI","SAT"))</f>
        <v>0</v>
      </c>
      <c r="E4" s="52">
        <f>IF(WeekStart="Monday",CHOOSE(4,"MON","TUE","WED","THU","FRI","SAT","SUN"),CHOOSE(4,"SUN","MON","TUE","WED","THU","FRI","SAT"))</f>
        <v>0</v>
      </c>
      <c r="F4" s="52">
        <f>IF(WeekStart="Monday",CHOOSE(5,"MON","TUE","WED","THU","FRI","SAT","SUN"),CHOOSE(5,"SUN","MON","TUE","WED","THU","FRI","SAT"))</f>
        <v>0</v>
      </c>
      <c r="G4" s="52">
        <f>IF(WeekStart="Monday",CHOOSE(6,"MON","TUE","WED","THU","FRI","SAT","SUN"),CHOOSE(6,"SUN","MON","TUE","WED","THU","FRI","SAT"))</f>
        <v>0</v>
      </c>
      <c r="H4" s="52">
        <f>IF(WeekStart="Monday",CHOOSE(7,"MON","TUE","WED","THU","FRI","SAT","SUN"),CHOOSE(7,"SUN","MON","TUE","WED","THU","FRI","SAT"))</f>
        <v>0</v>
      </c>
      <c r="J4" s="53" t="s">
        <v>18</v>
      </c>
    </row>
    <row r="5" spans="2:10" ht="21" customHeight="1">
      <c r="B5" s="20">
        <f>DATE(CalYear,12,1)-WEEKDAY(DATE(CalYear,12,1),IF(WeekStart="Monday",2,1))+1</f>
        <v>0</v>
      </c>
      <c r="C5" s="20">
        <f>B5+1</f>
        <v>0</v>
      </c>
      <c r="D5" s="20">
        <f>C5+1</f>
        <v>0</v>
      </c>
      <c r="E5" s="20">
        <f>D5+1</f>
        <v>0</v>
      </c>
      <c r="F5" s="20">
        <f>E5+1</f>
        <v>0</v>
      </c>
      <c r="G5" s="20">
        <f>F5+1</f>
        <v>0</v>
      </c>
      <c r="H5" s="21">
        <f>G5+1</f>
        <v>0</v>
      </c>
      <c r="J5" s="22">
        <f>"WEEK "&amp;TEXT(_xlfn.ISOWEEKNUM(B5+3),"00")</f>
        <v>0</v>
      </c>
    </row>
    <row r="6" spans="2:10" ht="12" customHeight="1">
      <c r="B6" s="23">
        <f>IFERROR(INDEX(Holidays!$B$6:$B$60,MATCH(B5,Holidays!$C$6:$C$60,0)),"")</f>
        <v>0</v>
      </c>
      <c r="C6" s="23">
        <f>IFERROR(INDEX(Holidays!$B$6:$B$60,MATCH(C5,Holidays!$C$6:$C$60,0)),"")</f>
        <v>0</v>
      </c>
      <c r="D6" s="23">
        <f>IFERROR(INDEX(Holidays!$B$6:$B$60,MATCH(D5,Holidays!$C$6:$C$60,0)),"")</f>
        <v>0</v>
      </c>
      <c r="E6" s="23">
        <f>IFERROR(INDEX(Holidays!$B$6:$B$60,MATCH(E5,Holidays!$C$6:$C$60,0)),"")</f>
        <v>0</v>
      </c>
      <c r="F6" s="23">
        <f>IFERROR(INDEX(Holidays!$B$6:$B$60,MATCH(F5,Holidays!$C$6:$C$60,0)),"")</f>
        <v>0</v>
      </c>
      <c r="G6" s="23">
        <f>IFERROR(INDEX(Holidays!$B$6:$B$60,MATCH(G5,Holidays!$C$6:$C$60,0)),"")</f>
        <v>0</v>
      </c>
      <c r="H6" s="24">
        <f>IFERROR(INDEX(Holidays!$B$6:$B$60,MATCH(H5,Holidays!$C$6:$C$60,0)),"")</f>
        <v>0</v>
      </c>
      <c r="J6" s="25"/>
    </row>
    <row r="7" spans="2:10" ht="18" customHeight="1">
      <c r="B7" s="26"/>
      <c r="C7" s="26"/>
      <c r="D7" s="26"/>
      <c r="E7" s="26"/>
      <c r="F7" s="26"/>
      <c r="G7" s="26"/>
      <c r="H7" s="27"/>
      <c r="J7" s="25"/>
    </row>
    <row r="8" spans="2:10" ht="18" customHeight="1">
      <c r="B8" s="26"/>
      <c r="C8" s="26"/>
      <c r="D8" s="26"/>
      <c r="E8" s="26"/>
      <c r="F8" s="26"/>
      <c r="G8" s="26"/>
      <c r="H8" s="27"/>
      <c r="J8" s="25"/>
    </row>
    <row r="9" spans="2:10" ht="18" customHeight="1">
      <c r="B9" s="28"/>
      <c r="C9" s="28"/>
      <c r="D9" s="28"/>
      <c r="E9" s="28"/>
      <c r="F9" s="28"/>
      <c r="G9" s="28"/>
      <c r="H9" s="29"/>
      <c r="J9" s="25"/>
    </row>
    <row r="10" spans="2:10" ht="21" customHeight="1">
      <c r="B10" s="20">
        <f>H5+1</f>
        <v>0</v>
      </c>
      <c r="C10" s="20">
        <f>B10+1</f>
        <v>0</v>
      </c>
      <c r="D10" s="20">
        <f>C10+1</f>
        <v>0</v>
      </c>
      <c r="E10" s="20">
        <f>D10+1</f>
        <v>0</v>
      </c>
      <c r="F10" s="20">
        <f>E10+1</f>
        <v>0</v>
      </c>
      <c r="G10" s="20">
        <f>F10+1</f>
        <v>0</v>
      </c>
      <c r="H10" s="21">
        <f>G10+1</f>
        <v>0</v>
      </c>
      <c r="J10" s="22">
        <f>"WEEK "&amp;TEXT(_xlfn.ISOWEEKNUM(B10+3),"00")</f>
        <v>0</v>
      </c>
    </row>
    <row r="11" spans="2:10" ht="12" customHeight="1">
      <c r="B11" s="23">
        <f>IFERROR(INDEX(Holidays!$B$6:$B$60,MATCH(B10,Holidays!$C$6:$C$60,0)),"")</f>
        <v>0</v>
      </c>
      <c r="C11" s="23">
        <f>IFERROR(INDEX(Holidays!$B$6:$B$60,MATCH(C10,Holidays!$C$6:$C$60,0)),"")</f>
        <v>0</v>
      </c>
      <c r="D11" s="23">
        <f>IFERROR(INDEX(Holidays!$B$6:$B$60,MATCH(D10,Holidays!$C$6:$C$60,0)),"")</f>
        <v>0</v>
      </c>
      <c r="E11" s="23">
        <f>IFERROR(INDEX(Holidays!$B$6:$B$60,MATCH(E10,Holidays!$C$6:$C$60,0)),"")</f>
        <v>0</v>
      </c>
      <c r="F11" s="23">
        <f>IFERROR(INDEX(Holidays!$B$6:$B$60,MATCH(F10,Holidays!$C$6:$C$60,0)),"")</f>
        <v>0</v>
      </c>
      <c r="G11" s="23">
        <f>IFERROR(INDEX(Holidays!$B$6:$B$60,MATCH(G10,Holidays!$C$6:$C$60,0)),"")</f>
        <v>0</v>
      </c>
      <c r="H11" s="24">
        <f>IFERROR(INDEX(Holidays!$B$6:$B$60,MATCH(H10,Holidays!$C$6:$C$60,0)),"")</f>
        <v>0</v>
      </c>
      <c r="J11" s="25"/>
    </row>
    <row r="12" spans="2:10" ht="18" customHeight="1">
      <c r="B12" s="26"/>
      <c r="C12" s="26"/>
      <c r="D12" s="26"/>
      <c r="E12" s="26"/>
      <c r="F12" s="26"/>
      <c r="G12" s="26"/>
      <c r="H12" s="27"/>
      <c r="J12" s="25"/>
    </row>
    <row r="13" spans="2:10" ht="18" customHeight="1">
      <c r="B13" s="26"/>
      <c r="C13" s="26"/>
      <c r="D13" s="26"/>
      <c r="E13" s="26"/>
      <c r="F13" s="26"/>
      <c r="G13" s="26"/>
      <c r="H13" s="27"/>
      <c r="J13" s="25"/>
    </row>
    <row r="14" spans="2:10" ht="18" customHeight="1">
      <c r="B14" s="28"/>
      <c r="C14" s="28"/>
      <c r="D14" s="28"/>
      <c r="E14" s="28"/>
      <c r="F14" s="28"/>
      <c r="G14" s="28"/>
      <c r="H14" s="29"/>
      <c r="J14" s="25"/>
    </row>
    <row r="15" spans="2:10" ht="21" customHeight="1">
      <c r="B15" s="20">
        <f>H10+1</f>
        <v>0</v>
      </c>
      <c r="C15" s="20">
        <f>B15+1</f>
        <v>0</v>
      </c>
      <c r="D15" s="20">
        <f>C15+1</f>
        <v>0</v>
      </c>
      <c r="E15" s="20">
        <f>D15+1</f>
        <v>0</v>
      </c>
      <c r="F15" s="20">
        <f>E15+1</f>
        <v>0</v>
      </c>
      <c r="G15" s="20">
        <f>F15+1</f>
        <v>0</v>
      </c>
      <c r="H15" s="21">
        <f>G15+1</f>
        <v>0</v>
      </c>
      <c r="J15" s="22">
        <f>"WEEK "&amp;TEXT(_xlfn.ISOWEEKNUM(B15+3),"00")</f>
        <v>0</v>
      </c>
    </row>
    <row r="16" spans="2:10" ht="12" customHeight="1">
      <c r="B16" s="23">
        <f>IFERROR(INDEX(Holidays!$B$6:$B$60,MATCH(B15,Holidays!$C$6:$C$60,0)),"")</f>
        <v>0</v>
      </c>
      <c r="C16" s="23">
        <f>IFERROR(INDEX(Holidays!$B$6:$B$60,MATCH(C15,Holidays!$C$6:$C$60,0)),"")</f>
        <v>0</v>
      </c>
      <c r="D16" s="23">
        <f>IFERROR(INDEX(Holidays!$B$6:$B$60,MATCH(D15,Holidays!$C$6:$C$60,0)),"")</f>
        <v>0</v>
      </c>
      <c r="E16" s="23">
        <f>IFERROR(INDEX(Holidays!$B$6:$B$60,MATCH(E15,Holidays!$C$6:$C$60,0)),"")</f>
        <v>0</v>
      </c>
      <c r="F16" s="23">
        <f>IFERROR(INDEX(Holidays!$B$6:$B$60,MATCH(F15,Holidays!$C$6:$C$60,0)),"")</f>
        <v>0</v>
      </c>
      <c r="G16" s="23">
        <f>IFERROR(INDEX(Holidays!$B$6:$B$60,MATCH(G15,Holidays!$C$6:$C$60,0)),"")</f>
        <v>0</v>
      </c>
      <c r="H16" s="24">
        <f>IFERROR(INDEX(Holidays!$B$6:$B$60,MATCH(H15,Holidays!$C$6:$C$60,0)),"")</f>
        <v>0</v>
      </c>
      <c r="J16" s="25"/>
    </row>
    <row r="17" spans="2:10" ht="18" customHeight="1">
      <c r="B17" s="26"/>
      <c r="C17" s="26"/>
      <c r="D17" s="26"/>
      <c r="E17" s="26"/>
      <c r="F17" s="26"/>
      <c r="G17" s="26"/>
      <c r="H17" s="27"/>
      <c r="J17" s="25"/>
    </row>
    <row r="18" spans="2:10" ht="18" customHeight="1">
      <c r="B18" s="26"/>
      <c r="C18" s="26"/>
      <c r="D18" s="26"/>
      <c r="E18" s="26"/>
      <c r="F18" s="26"/>
      <c r="G18" s="26"/>
      <c r="H18" s="27"/>
      <c r="J18" s="25"/>
    </row>
    <row r="19" spans="2:10" ht="18" customHeight="1">
      <c r="B19" s="28"/>
      <c r="C19" s="28"/>
      <c r="D19" s="28"/>
      <c r="E19" s="28"/>
      <c r="F19" s="28"/>
      <c r="G19" s="28"/>
      <c r="H19" s="29"/>
      <c r="J19" s="25"/>
    </row>
    <row r="20" spans="2:10" ht="21" customHeight="1">
      <c r="B20" s="20">
        <f>H15+1</f>
        <v>0</v>
      </c>
      <c r="C20" s="20">
        <f>B20+1</f>
        <v>0</v>
      </c>
      <c r="D20" s="20">
        <f>C20+1</f>
        <v>0</v>
      </c>
      <c r="E20" s="20">
        <f>D20+1</f>
        <v>0</v>
      </c>
      <c r="F20" s="20">
        <f>E20+1</f>
        <v>0</v>
      </c>
      <c r="G20" s="20">
        <f>F20+1</f>
        <v>0</v>
      </c>
      <c r="H20" s="21">
        <f>G20+1</f>
        <v>0</v>
      </c>
      <c r="J20" s="22">
        <f>"WEEK "&amp;TEXT(_xlfn.ISOWEEKNUM(B20+3),"00")</f>
        <v>0</v>
      </c>
    </row>
    <row r="21" spans="2:10" ht="12" customHeight="1">
      <c r="B21" s="23">
        <f>IFERROR(INDEX(Holidays!$B$6:$B$60,MATCH(B20,Holidays!$C$6:$C$60,0)),"")</f>
        <v>0</v>
      </c>
      <c r="C21" s="23">
        <f>IFERROR(INDEX(Holidays!$B$6:$B$60,MATCH(C20,Holidays!$C$6:$C$60,0)),"")</f>
        <v>0</v>
      </c>
      <c r="D21" s="23">
        <f>IFERROR(INDEX(Holidays!$B$6:$B$60,MATCH(D20,Holidays!$C$6:$C$60,0)),"")</f>
        <v>0</v>
      </c>
      <c r="E21" s="23">
        <f>IFERROR(INDEX(Holidays!$B$6:$B$60,MATCH(E20,Holidays!$C$6:$C$60,0)),"")</f>
        <v>0</v>
      </c>
      <c r="F21" s="23">
        <f>IFERROR(INDEX(Holidays!$B$6:$B$60,MATCH(F20,Holidays!$C$6:$C$60,0)),"")</f>
        <v>0</v>
      </c>
      <c r="G21" s="23">
        <f>IFERROR(INDEX(Holidays!$B$6:$B$60,MATCH(G20,Holidays!$C$6:$C$60,0)),"")</f>
        <v>0</v>
      </c>
      <c r="H21" s="24">
        <f>IFERROR(INDEX(Holidays!$B$6:$B$60,MATCH(H20,Holidays!$C$6:$C$60,0)),"")</f>
        <v>0</v>
      </c>
      <c r="J21" s="25"/>
    </row>
    <row r="22" spans="2:10" ht="18" customHeight="1">
      <c r="B22" s="26"/>
      <c r="C22" s="26"/>
      <c r="D22" s="26"/>
      <c r="E22" s="26"/>
      <c r="F22" s="26"/>
      <c r="G22" s="26"/>
      <c r="H22" s="27"/>
      <c r="J22" s="25"/>
    </row>
    <row r="23" spans="2:10" ht="18" customHeight="1">
      <c r="B23" s="26"/>
      <c r="C23" s="26"/>
      <c r="D23" s="26"/>
      <c r="E23" s="26"/>
      <c r="F23" s="26"/>
      <c r="G23" s="26"/>
      <c r="H23" s="27"/>
      <c r="J23" s="25"/>
    </row>
    <row r="24" spans="2:10" ht="18" customHeight="1">
      <c r="B24" s="28"/>
      <c r="C24" s="28"/>
      <c r="D24" s="28"/>
      <c r="E24" s="28"/>
      <c r="F24" s="28"/>
      <c r="G24" s="28"/>
      <c r="H24" s="29"/>
      <c r="J24" s="25"/>
    </row>
    <row r="25" spans="2:10" ht="21" customHeight="1">
      <c r="B25" s="20">
        <f>H20+1</f>
        <v>0</v>
      </c>
      <c r="C25" s="20">
        <f>B25+1</f>
        <v>0</v>
      </c>
      <c r="D25" s="20">
        <f>C25+1</f>
        <v>0</v>
      </c>
      <c r="E25" s="20">
        <f>D25+1</f>
        <v>0</v>
      </c>
      <c r="F25" s="20">
        <f>E25+1</f>
        <v>0</v>
      </c>
      <c r="G25" s="20">
        <f>F25+1</f>
        <v>0</v>
      </c>
      <c r="H25" s="21">
        <f>G25+1</f>
        <v>0</v>
      </c>
      <c r="J25" s="22">
        <f>"WEEK "&amp;TEXT(_xlfn.ISOWEEKNUM(B25+3),"00")</f>
        <v>0</v>
      </c>
    </row>
    <row r="26" spans="2:10" ht="12" customHeight="1">
      <c r="B26" s="23">
        <f>IFERROR(INDEX(Holidays!$B$6:$B$60,MATCH(B25,Holidays!$C$6:$C$60,0)),"")</f>
        <v>0</v>
      </c>
      <c r="C26" s="23">
        <f>IFERROR(INDEX(Holidays!$B$6:$B$60,MATCH(C25,Holidays!$C$6:$C$60,0)),"")</f>
        <v>0</v>
      </c>
      <c r="D26" s="23">
        <f>IFERROR(INDEX(Holidays!$B$6:$B$60,MATCH(D25,Holidays!$C$6:$C$60,0)),"")</f>
        <v>0</v>
      </c>
      <c r="E26" s="23">
        <f>IFERROR(INDEX(Holidays!$B$6:$B$60,MATCH(E25,Holidays!$C$6:$C$60,0)),"")</f>
        <v>0</v>
      </c>
      <c r="F26" s="23">
        <f>IFERROR(INDEX(Holidays!$B$6:$B$60,MATCH(F25,Holidays!$C$6:$C$60,0)),"")</f>
        <v>0</v>
      </c>
      <c r="G26" s="23">
        <f>IFERROR(INDEX(Holidays!$B$6:$B$60,MATCH(G25,Holidays!$C$6:$C$60,0)),"")</f>
        <v>0</v>
      </c>
      <c r="H26" s="24">
        <f>IFERROR(INDEX(Holidays!$B$6:$B$60,MATCH(H25,Holidays!$C$6:$C$60,0)),"")</f>
        <v>0</v>
      </c>
      <c r="J26" s="25"/>
    </row>
    <row r="27" spans="2:10" ht="18" customHeight="1">
      <c r="B27" s="26"/>
      <c r="C27" s="26"/>
      <c r="D27" s="26"/>
      <c r="E27" s="26"/>
      <c r="F27" s="26"/>
      <c r="G27" s="26"/>
      <c r="H27" s="27"/>
      <c r="J27" s="25"/>
    </row>
    <row r="28" spans="2:10" ht="18" customHeight="1">
      <c r="B28" s="26"/>
      <c r="C28" s="26"/>
      <c r="D28" s="26"/>
      <c r="E28" s="26"/>
      <c r="F28" s="26"/>
      <c r="G28" s="26"/>
      <c r="H28" s="27"/>
      <c r="J28" s="25"/>
    </row>
    <row r="29" spans="2:10" ht="18" customHeight="1">
      <c r="B29" s="28"/>
      <c r="C29" s="28"/>
      <c r="D29" s="28"/>
      <c r="E29" s="28"/>
      <c r="F29" s="28"/>
      <c r="G29" s="28"/>
      <c r="H29" s="29"/>
      <c r="J29" s="25"/>
    </row>
    <row r="30" spans="2:10" ht="21" customHeight="1">
      <c r="B30" s="20">
        <f>H25+1</f>
        <v>0</v>
      </c>
      <c r="C30" s="20">
        <f>B30+1</f>
        <v>0</v>
      </c>
      <c r="D30" s="20">
        <f>C30+1</f>
        <v>0</v>
      </c>
      <c r="E30" s="20">
        <f>D30+1</f>
        <v>0</v>
      </c>
      <c r="F30" s="20">
        <f>E30+1</f>
        <v>0</v>
      </c>
      <c r="G30" s="20">
        <f>F30+1</f>
        <v>0</v>
      </c>
      <c r="H30" s="21">
        <f>G30+1</f>
        <v>0</v>
      </c>
      <c r="J30" s="22">
        <f>"WEEK "&amp;TEXT(_xlfn.ISOWEEKNUM(B30+3),"00")</f>
        <v>0</v>
      </c>
    </row>
    <row r="31" spans="2:10" ht="12" customHeight="1">
      <c r="B31" s="23">
        <f>IFERROR(INDEX(Holidays!$B$6:$B$60,MATCH(B30,Holidays!$C$6:$C$60,0)),"")</f>
        <v>0</v>
      </c>
      <c r="C31" s="23">
        <f>IFERROR(INDEX(Holidays!$B$6:$B$60,MATCH(C30,Holidays!$C$6:$C$60,0)),"")</f>
        <v>0</v>
      </c>
      <c r="D31" s="23">
        <f>IFERROR(INDEX(Holidays!$B$6:$B$60,MATCH(D30,Holidays!$C$6:$C$60,0)),"")</f>
        <v>0</v>
      </c>
      <c r="E31" s="23">
        <f>IFERROR(INDEX(Holidays!$B$6:$B$60,MATCH(E30,Holidays!$C$6:$C$60,0)),"")</f>
        <v>0</v>
      </c>
      <c r="F31" s="23">
        <f>IFERROR(INDEX(Holidays!$B$6:$B$60,MATCH(F30,Holidays!$C$6:$C$60,0)),"")</f>
        <v>0</v>
      </c>
      <c r="G31" s="23">
        <f>IFERROR(INDEX(Holidays!$B$6:$B$60,MATCH(G30,Holidays!$C$6:$C$60,0)),"")</f>
        <v>0</v>
      </c>
      <c r="H31" s="24">
        <f>IFERROR(INDEX(Holidays!$B$6:$B$60,MATCH(H30,Holidays!$C$6:$C$60,0)),"")</f>
        <v>0</v>
      </c>
      <c r="J31" s="30"/>
    </row>
    <row r="32" spans="2:10" ht="18" customHeight="1">
      <c r="B32" s="26"/>
      <c r="C32" s="26"/>
      <c r="D32" s="26"/>
      <c r="E32" s="26"/>
      <c r="F32" s="26"/>
      <c r="G32" s="26"/>
      <c r="H32" s="27"/>
      <c r="J32" s="30"/>
    </row>
    <row r="33" spans="2:10" ht="18" customHeight="1">
      <c r="B33" s="26"/>
      <c r="C33" s="26"/>
      <c r="D33" s="26"/>
      <c r="E33" s="26"/>
      <c r="F33" s="26"/>
      <c r="G33" s="26"/>
      <c r="H33" s="27"/>
      <c r="J33" s="30"/>
    </row>
    <row r="34" spans="2:10" ht="18" customHeight="1">
      <c r="B34" s="31"/>
      <c r="C34" s="31"/>
      <c r="D34" s="31"/>
      <c r="E34" s="31"/>
      <c r="F34" s="31"/>
      <c r="G34" s="31"/>
      <c r="H34" s="32"/>
      <c r="J34" s="30"/>
    </row>
    <row r="35" spans="2:10" ht="16" customHeight="1">
      <c r="B35" s="33" t="s">
        <v>19</v>
      </c>
      <c r="C35" s="33"/>
      <c r="D35" s="33"/>
      <c r="E35" s="33"/>
      <c r="F35" s="33"/>
      <c r="G35" s="33"/>
      <c r="H35" s="33"/>
      <c r="I35" s="33"/>
      <c r="J35" s="33"/>
    </row>
  </sheetData>
  <mergeCells count="10">
    <mergeCell ref="B2:F2"/>
    <mergeCell ref="G2:H2"/>
    <mergeCell ref="B3:H3"/>
    <mergeCell ref="J6:J9"/>
    <mergeCell ref="J11:J14"/>
    <mergeCell ref="J16:J19"/>
    <mergeCell ref="J21:J24"/>
    <mergeCell ref="J26:J29"/>
    <mergeCell ref="J31:J34"/>
    <mergeCell ref="B35:J35"/>
  </mergeCells>
  <conditionalFormatting sqref="B10:H14">
    <cfRule type="expression" dxfId="4" priority="8" stopIfTrue="1">
      <formula>AND(ROW()=10,B$10=TODAY())</formula>
    </cfRule>
    <cfRule type="expression" dxfId="5" priority="9" stopIfTrue="1">
      <formula>AND(NOT(MONTH(B$10)=12),OR(WEEKDAY(B$10)=1,WEEKDAY(B$10)=7))</formula>
    </cfRule>
    <cfRule type="expression" dxfId="6" priority="10" stopIfTrue="1">
      <formula>NOT(MONTH(B$10)=12)</formula>
    </cfRule>
    <cfRule type="expression" dxfId="7" priority="11" stopIfTrue="1">
      <formula>AND(ROW()&lt;=11,COUNTIFS(INDIRECT("Holidays!$C$6:$C$60"),B$10,INDIRECT("Holidays!$D$6:$D$60"),"Holiday")&gt;0)</formula>
    </cfRule>
    <cfRule type="expression" dxfId="8" priority="12" stopIfTrue="1">
      <formula>COUNTIFS(INDIRECT("Holidays!$C$6:$C$60"),B$10,INDIRECT("Holidays!$D$6:$D$60"),"Holiday")&gt;0</formula>
    </cfRule>
    <cfRule type="expression" dxfId="8" priority="13" stopIfTrue="1">
      <formula>B$10=TODAY()</formula>
    </cfRule>
    <cfRule type="expression" dxfId="9" priority="14" stopIfTrue="1">
      <formula>OR(WEEKDAY(B$10)=1,WEEKDAY(B$10)=7)</formula>
    </cfRule>
  </conditionalFormatting>
  <conditionalFormatting sqref="B15:H19">
    <cfRule type="expression" dxfId="4" priority="15" stopIfTrue="1">
      <formula>AND(ROW()=15,B$15=TODAY())</formula>
    </cfRule>
    <cfRule type="expression" dxfId="5" priority="16" stopIfTrue="1">
      <formula>AND(NOT(MONTH(B$15)=12),OR(WEEKDAY(B$15)=1,WEEKDAY(B$15)=7))</formula>
    </cfRule>
    <cfRule type="expression" dxfId="6" priority="17" stopIfTrue="1">
      <formula>NOT(MONTH(B$15)=12)</formula>
    </cfRule>
    <cfRule type="expression" dxfId="7" priority="18" stopIfTrue="1">
      <formula>AND(ROW()&lt;=16,COUNTIFS(INDIRECT("Holidays!$C$6:$C$60"),B$15,INDIRECT("Holidays!$D$6:$D$60"),"Holiday")&gt;0)</formula>
    </cfRule>
    <cfRule type="expression" dxfId="8" priority="19" stopIfTrue="1">
      <formula>COUNTIFS(INDIRECT("Holidays!$C$6:$C$60"),B$15,INDIRECT("Holidays!$D$6:$D$60"),"Holiday")&gt;0</formula>
    </cfRule>
    <cfRule type="expression" dxfId="8" priority="20" stopIfTrue="1">
      <formula>B$15=TODAY()</formula>
    </cfRule>
    <cfRule type="expression" dxfId="9" priority="21" stopIfTrue="1">
      <formula>OR(WEEKDAY(B$15)=1,WEEKDAY(B$15)=7)</formula>
    </cfRule>
  </conditionalFormatting>
  <conditionalFormatting sqref="B20:H24">
    <cfRule type="expression" dxfId="4" priority="22" stopIfTrue="1">
      <formula>AND(ROW()=20,B$20=TODAY())</formula>
    </cfRule>
    <cfRule type="expression" dxfId="5" priority="23" stopIfTrue="1">
      <formula>AND(NOT(MONTH(B$20)=12),OR(WEEKDAY(B$20)=1,WEEKDAY(B$20)=7))</formula>
    </cfRule>
    <cfRule type="expression" dxfId="6" priority="24" stopIfTrue="1">
      <formula>NOT(MONTH(B$20)=12)</formula>
    </cfRule>
    <cfRule type="expression" dxfId="7" priority="25" stopIfTrue="1">
      <formula>AND(ROW()&lt;=21,COUNTIFS(INDIRECT("Holidays!$C$6:$C$60"),B$20,INDIRECT("Holidays!$D$6:$D$60"),"Holiday")&gt;0)</formula>
    </cfRule>
    <cfRule type="expression" dxfId="8" priority="26" stopIfTrue="1">
      <formula>COUNTIFS(INDIRECT("Holidays!$C$6:$C$60"),B$20,INDIRECT("Holidays!$D$6:$D$60"),"Holiday")&gt;0</formula>
    </cfRule>
    <cfRule type="expression" dxfId="8" priority="27" stopIfTrue="1">
      <formula>B$20=TODAY()</formula>
    </cfRule>
    <cfRule type="expression" dxfId="9" priority="28" stopIfTrue="1">
      <formula>OR(WEEKDAY(B$20)=1,WEEKDAY(B$20)=7)</formula>
    </cfRule>
  </conditionalFormatting>
  <conditionalFormatting sqref="B25:H29">
    <cfRule type="expression" dxfId="4" priority="29" stopIfTrue="1">
      <formula>AND(ROW()=25,B$25=TODAY())</formula>
    </cfRule>
    <cfRule type="expression" dxfId="5" priority="30" stopIfTrue="1">
      <formula>AND(NOT(MONTH(B$25)=12),OR(WEEKDAY(B$25)=1,WEEKDAY(B$25)=7))</formula>
    </cfRule>
    <cfRule type="expression" dxfId="6" priority="31" stopIfTrue="1">
      <formula>NOT(MONTH(B$25)=12)</formula>
    </cfRule>
    <cfRule type="expression" dxfId="7" priority="32" stopIfTrue="1">
      <formula>AND(ROW()&lt;=26,COUNTIFS(INDIRECT("Holidays!$C$6:$C$60"),B$25,INDIRECT("Holidays!$D$6:$D$60"),"Holiday")&gt;0)</formula>
    </cfRule>
    <cfRule type="expression" dxfId="8" priority="33" stopIfTrue="1">
      <formula>COUNTIFS(INDIRECT("Holidays!$C$6:$C$60"),B$25,INDIRECT("Holidays!$D$6:$D$60"),"Holiday")&gt;0</formula>
    </cfRule>
    <cfRule type="expression" dxfId="8" priority="34" stopIfTrue="1">
      <formula>B$25=TODAY()</formula>
    </cfRule>
    <cfRule type="expression" dxfId="9" priority="35" stopIfTrue="1">
      <formula>OR(WEEKDAY(B$25)=1,WEEKDAY(B$25)=7)</formula>
    </cfRule>
  </conditionalFormatting>
  <conditionalFormatting sqref="B30:H34">
    <cfRule type="expression" dxfId="4" priority="36" stopIfTrue="1">
      <formula>AND(ROW()=30,B$30=TODAY())</formula>
    </cfRule>
    <cfRule type="expression" dxfId="5" priority="37" stopIfTrue="1">
      <formula>AND(NOT(MONTH(B$30)=12),OR(WEEKDAY(B$30)=1,WEEKDAY(B$30)=7))</formula>
    </cfRule>
    <cfRule type="expression" dxfId="6" priority="38" stopIfTrue="1">
      <formula>NOT(MONTH(B$30)=12)</formula>
    </cfRule>
    <cfRule type="expression" dxfId="7" priority="39" stopIfTrue="1">
      <formula>AND(ROW()&lt;=31,COUNTIFS(INDIRECT("Holidays!$C$6:$C$60"),B$30,INDIRECT("Holidays!$D$6:$D$60"),"Holiday")&gt;0)</formula>
    </cfRule>
    <cfRule type="expression" dxfId="8" priority="40" stopIfTrue="1">
      <formula>COUNTIFS(INDIRECT("Holidays!$C$6:$C$60"),B$30,INDIRECT("Holidays!$D$6:$D$60"),"Holiday")&gt;0</formula>
    </cfRule>
    <cfRule type="expression" dxfId="8" priority="41" stopIfTrue="1">
      <formula>B$30=TODAY()</formula>
    </cfRule>
    <cfRule type="expression" dxfId="9" priority="42" stopIfTrue="1">
      <formula>OR(WEEKDAY(B$30)=1,WEEKDAY(B$30)=7)</formula>
    </cfRule>
  </conditionalFormatting>
  <conditionalFormatting sqref="B5:H9">
    <cfRule type="expression" dxfId="4" priority="1" stopIfTrue="1">
      <formula>AND(ROW()=5,B$5=TODAY())</formula>
    </cfRule>
    <cfRule type="expression" dxfId="5" priority="2" stopIfTrue="1">
      <formula>AND(NOT(MONTH(B$5)=12),OR(WEEKDAY(B$5)=1,WEEKDAY(B$5)=7))</formula>
    </cfRule>
    <cfRule type="expression" dxfId="6" priority="3" stopIfTrue="1">
      <formula>NOT(MONTH(B$5)=12)</formula>
    </cfRule>
    <cfRule type="expression" dxfId="7" priority="4" stopIfTrue="1">
      <formula>AND(ROW()&lt;=6,COUNTIFS(INDIRECT("Holidays!$C$6:$C$60"),B$5,INDIRECT("Holidays!$D$6:$D$60"),"Holiday")&gt;0)</formula>
    </cfRule>
    <cfRule type="expression" dxfId="8" priority="5" stopIfTrue="1">
      <formula>COUNTIFS(INDIRECT("Holidays!$C$6:$C$60"),B$5,INDIRECT("Holidays!$D$6:$D$60"),"Holiday")&gt;0</formula>
    </cfRule>
    <cfRule type="expression" dxfId="8" priority="6" stopIfTrue="1">
      <formula>B$5=TODAY()</formula>
    </cfRule>
    <cfRule type="expression" dxfId="9" priority="7" stopIfTrue="1">
      <formula>OR(WEEKDAY(B$5)=1,WEEKDAY(B$5)=7)</formula>
    </cfRule>
  </conditionalFormatting>
  <printOptions horizontalCentered="1"/>
  <pageMargins left="0.4" right="0.4" top="0.4" bottom="0.4" header="0.3" footer="0.3"/>
  <pageSetup orientation="landscape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60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.7109375" customWidth="1"/>
    <col min="2" max="2" width="34.7109375" customWidth="1"/>
    <col min="3" max="3" width="18.7109375" customWidth="1"/>
    <col min="4" max="4" width="14.7109375" customWidth="1"/>
    <col min="5" max="5" width="3.7109375" customWidth="1"/>
    <col min="6" max="6" width="52.7109375" customWidth="1"/>
  </cols>
  <sheetData>
    <row r="2" spans="2:6" ht="34" customHeight="1">
      <c r="B2" s="54" t="s">
        <v>20</v>
      </c>
    </row>
    <row r="3" spans="2:6">
      <c r="B3" s="55">
        <f>"Dates update automatically for "&amp;CalYear&amp;". Add your own below."</f>
        <v>0</v>
      </c>
    </row>
    <row r="5" spans="2:6">
      <c r="B5" s="56" t="s">
        <v>21</v>
      </c>
      <c r="C5" s="56" t="s">
        <v>22</v>
      </c>
      <c r="D5" s="56" t="s">
        <v>23</v>
      </c>
      <c r="F5" s="57" t="s">
        <v>47</v>
      </c>
    </row>
    <row r="6" spans="2:6">
      <c r="B6" s="58" t="s">
        <v>24</v>
      </c>
      <c r="C6" s="59">
        <f>DATE(CalYear,1,1)</f>
        <v>0</v>
      </c>
      <c r="D6" s="60" t="s">
        <v>25</v>
      </c>
      <c r="F6" s="61" t="s">
        <v>48</v>
      </c>
    </row>
    <row r="7" spans="2:6">
      <c r="B7" s="58" t="s">
        <v>26</v>
      </c>
      <c r="C7" s="59">
        <f>DATE(CalYear,1,1)+MOD(2-WEEKDAY(DATE(CalYear,1,1)),7)+14</f>
        <v>0</v>
      </c>
      <c r="D7" s="60" t="s">
        <v>25</v>
      </c>
      <c r="F7" s="61" t="s">
        <v>49</v>
      </c>
    </row>
    <row r="8" spans="2:6">
      <c r="B8" s="58" t="s">
        <v>27</v>
      </c>
      <c r="C8" s="59">
        <f>DATE(CalYear,2,1)+MOD(2-WEEKDAY(DATE(CalYear,2,1)),7)+14</f>
        <v>0</v>
      </c>
      <c r="D8" s="60" t="s">
        <v>25</v>
      </c>
      <c r="F8" s="61" t="s">
        <v>50</v>
      </c>
    </row>
    <row r="9" spans="2:6">
      <c r="B9" s="58" t="s">
        <v>28</v>
      </c>
      <c r="C9" s="59">
        <f>DATE(CalYear,6,1)-1-MOD(WEEKDAY(DATE(CalYear,6,1)-1)-2,7)</f>
        <v>0</v>
      </c>
      <c r="D9" s="60" t="s">
        <v>25</v>
      </c>
      <c r="F9" s="61" t="s">
        <v>51</v>
      </c>
    </row>
    <row r="10" spans="2:6">
      <c r="B10" s="58" t="s">
        <v>29</v>
      </c>
      <c r="C10" s="59">
        <f>DATE(CalYear,6,19)</f>
        <v>0</v>
      </c>
      <c r="D10" s="60" t="s">
        <v>25</v>
      </c>
      <c r="F10" s="61" t="s">
        <v>52</v>
      </c>
    </row>
    <row r="11" spans="2:6">
      <c r="B11" s="58" t="s">
        <v>30</v>
      </c>
      <c r="C11" s="59">
        <f>DATE(CalYear,7,4)</f>
        <v>0</v>
      </c>
      <c r="D11" s="60" t="s">
        <v>25</v>
      </c>
      <c r="F11" s="61" t="s">
        <v>53</v>
      </c>
    </row>
    <row r="12" spans="2:6">
      <c r="B12" s="58" t="s">
        <v>31</v>
      </c>
      <c r="C12" s="59">
        <f>DATE(CalYear,9,1)+MOD(2-WEEKDAY(DATE(CalYear,9,1)),7)+0</f>
        <v>0</v>
      </c>
      <c r="D12" s="60" t="s">
        <v>25</v>
      </c>
    </row>
    <row r="13" spans="2:6">
      <c r="B13" s="58" t="s">
        <v>32</v>
      </c>
      <c r="C13" s="59">
        <f>DATE(CalYear,10,1)+MOD(2-WEEKDAY(DATE(CalYear,10,1)),7)+7</f>
        <v>0</v>
      </c>
      <c r="D13" s="60" t="s">
        <v>25</v>
      </c>
    </row>
    <row r="14" spans="2:6">
      <c r="B14" s="58" t="s">
        <v>33</v>
      </c>
      <c r="C14" s="59">
        <f>DATE(CalYear,11,11)</f>
        <v>0</v>
      </c>
      <c r="D14" s="60" t="s">
        <v>25</v>
      </c>
    </row>
    <row r="15" spans="2:6">
      <c r="B15" s="58" t="s">
        <v>34</v>
      </c>
      <c r="C15" s="59">
        <f>DATE(CalYear,11,1)+MOD(5-WEEKDAY(DATE(CalYear,11,1)),7)+21</f>
        <v>0</v>
      </c>
      <c r="D15" s="60" t="s">
        <v>25</v>
      </c>
    </row>
    <row r="16" spans="2:6">
      <c r="B16" s="58" t="s">
        <v>35</v>
      </c>
      <c r="C16" s="59">
        <f>DATE(CalYear,12,25)</f>
        <v>0</v>
      </c>
      <c r="D16" s="60" t="s">
        <v>25</v>
      </c>
    </row>
    <row r="17" spans="2:4">
      <c r="B17" s="58">
        <f>IF(C17="","","Juneteenth (obs.)")</f>
        <v>0</v>
      </c>
      <c r="C17" s="59">
        <f>IF(WEEKDAY(DATE(CalYear,6,19))=7,DATE(CalYear,6,19)-1,IF(WEEKDAY(DATE(CalYear,6,19))=1,DATE(CalYear,6,19)+1,""))</f>
        <v>0</v>
      </c>
      <c r="D17" s="60">
        <f>IF(C17="","","Holiday")</f>
        <v>0</v>
      </c>
    </row>
    <row r="18" spans="2:4">
      <c r="B18" s="58">
        <f>IF(C18="","","Independence Day (obs.)")</f>
        <v>0</v>
      </c>
      <c r="C18" s="59">
        <f>IF(WEEKDAY(DATE(CalYear,7,4))=7,DATE(CalYear,7,4)-1,IF(WEEKDAY(DATE(CalYear,7,4))=1,DATE(CalYear,7,4)+1,""))</f>
        <v>0</v>
      </c>
      <c r="D18" s="60">
        <f>IF(C18="","","Holiday")</f>
        <v>0</v>
      </c>
    </row>
    <row r="19" spans="2:4">
      <c r="B19" s="58">
        <f>IF(C19="","","Veterans Day (obs.)")</f>
        <v>0</v>
      </c>
      <c r="C19" s="59">
        <f>IF(WEEKDAY(DATE(CalYear,11,11))=7,DATE(CalYear,11,11)-1,IF(WEEKDAY(DATE(CalYear,11,11))=1,DATE(CalYear,11,11)+1,""))</f>
        <v>0</v>
      </c>
      <c r="D19" s="60">
        <f>IF(C19="","","Holiday")</f>
        <v>0</v>
      </c>
    </row>
    <row r="20" spans="2:4">
      <c r="B20" s="58">
        <f>IF(C20="","","Christmas Day (obs.)")</f>
        <v>0</v>
      </c>
      <c r="C20" s="59">
        <f>IF(WEEKDAY(DATE(CalYear,12,25))=7,DATE(CalYear,12,25)-1,IF(WEEKDAY(DATE(CalYear,12,25))=1,DATE(CalYear,12,25)+1,""))</f>
        <v>0</v>
      </c>
      <c r="D20" s="60">
        <f>IF(C20="","","Holiday")</f>
        <v>0</v>
      </c>
    </row>
    <row r="21" spans="2:4">
      <c r="B21" s="58">
        <f>IF(C21="","","New Year's Day (obs.)")</f>
        <v>0</v>
      </c>
      <c r="C21" s="59">
        <f>IF(WEEKDAY(DATE(CalYear+1,1,1))=7,DATE(CalYear,12,31),"")</f>
        <v>0</v>
      </c>
      <c r="D21" s="60">
        <f>IF(C21="","","Holiday")</f>
        <v>0</v>
      </c>
    </row>
    <row r="22" spans="2:4">
      <c r="B22" s="58" t="s">
        <v>36</v>
      </c>
      <c r="C22" s="59">
        <f>DATE(CalYear,2,14)</f>
        <v>0</v>
      </c>
      <c r="D22" s="60" t="s">
        <v>37</v>
      </c>
    </row>
    <row r="23" spans="2:4">
      <c r="B23" s="58" t="s">
        <v>38</v>
      </c>
      <c r="C23" s="59">
        <f>DATE(CalYear,3,1)+MOD(1-WEEKDAY(DATE(CalYear,3,1)),7)+7</f>
        <v>0</v>
      </c>
      <c r="D23" s="60" t="s">
        <v>37</v>
      </c>
    </row>
    <row r="24" spans="2:4">
      <c r="B24" s="58" t="s">
        <v>39</v>
      </c>
      <c r="C24" s="59">
        <f>DATE(CalYear,3,17)</f>
        <v>0</v>
      </c>
      <c r="D24" s="60" t="s">
        <v>37</v>
      </c>
    </row>
    <row r="25" spans="2:4">
      <c r="B25" s="58" t="s">
        <v>40</v>
      </c>
      <c r="C25" s="59">
        <f>FLOOR(DATE(CalYear,5,DAY(MINUTE(CalYear/38)/2+56)),7)-34</f>
        <v>0</v>
      </c>
      <c r="D25" s="60" t="s">
        <v>37</v>
      </c>
    </row>
    <row r="26" spans="2:4">
      <c r="B26" s="58" t="s">
        <v>41</v>
      </c>
      <c r="C26" s="59">
        <f>DATE(CalYear,5,1)+MOD(1-WEEKDAY(DATE(CalYear,5,1)),7)+7</f>
        <v>0</v>
      </c>
      <c r="D26" s="60" t="s">
        <v>37</v>
      </c>
    </row>
    <row r="27" spans="2:4">
      <c r="B27" s="58" t="s">
        <v>42</v>
      </c>
      <c r="C27" s="59">
        <f>DATE(CalYear,6,1)+MOD(1-WEEKDAY(DATE(CalYear,6,1)),7)+14</f>
        <v>0</v>
      </c>
      <c r="D27" s="60" t="s">
        <v>37</v>
      </c>
    </row>
    <row r="28" spans="2:4">
      <c r="B28" s="58" t="s">
        <v>43</v>
      </c>
      <c r="C28" s="59">
        <f>DATE(CalYear,10,31)</f>
        <v>0</v>
      </c>
      <c r="D28" s="60" t="s">
        <v>37</v>
      </c>
    </row>
    <row r="29" spans="2:4">
      <c r="B29" s="58" t="s">
        <v>44</v>
      </c>
      <c r="C29" s="59">
        <f>DATE(CalYear,11,1)+MOD(1-WEEKDAY(DATE(CalYear,11,1)),7)+0</f>
        <v>0</v>
      </c>
      <c r="D29" s="60" t="s">
        <v>37</v>
      </c>
    </row>
    <row r="30" spans="2:4">
      <c r="B30" s="58" t="s">
        <v>45</v>
      </c>
      <c r="C30" s="59">
        <f>DATE(CalYear,12,24)</f>
        <v>0</v>
      </c>
      <c r="D30" s="60" t="s">
        <v>37</v>
      </c>
    </row>
    <row r="31" spans="2:4">
      <c r="B31" s="58" t="s">
        <v>46</v>
      </c>
      <c r="C31" s="59">
        <f>DATE(CalYear,12,31)</f>
        <v>0</v>
      </c>
      <c r="D31" s="60" t="s">
        <v>37</v>
      </c>
    </row>
    <row r="32" spans="2:4">
      <c r="B32" s="58"/>
      <c r="C32" s="59"/>
      <c r="D32" s="60"/>
    </row>
    <row r="33" spans="2:4">
      <c r="B33" s="58"/>
      <c r="C33" s="59"/>
      <c r="D33" s="60"/>
    </row>
    <row r="34" spans="2:4">
      <c r="B34" s="58"/>
      <c r="C34" s="59"/>
      <c r="D34" s="60"/>
    </row>
    <row r="35" spans="2:4">
      <c r="B35" s="58"/>
      <c r="C35" s="59"/>
      <c r="D35" s="60"/>
    </row>
    <row r="36" spans="2:4">
      <c r="B36" s="58"/>
      <c r="C36" s="59"/>
      <c r="D36" s="60"/>
    </row>
    <row r="37" spans="2:4">
      <c r="B37" s="58"/>
      <c r="C37" s="59"/>
      <c r="D37" s="60"/>
    </row>
    <row r="38" spans="2:4">
      <c r="B38" s="58"/>
      <c r="C38" s="59"/>
      <c r="D38" s="60"/>
    </row>
    <row r="39" spans="2:4">
      <c r="B39" s="58"/>
      <c r="C39" s="59"/>
      <c r="D39" s="60"/>
    </row>
    <row r="40" spans="2:4">
      <c r="B40" s="58"/>
      <c r="C40" s="59"/>
      <c r="D40" s="60"/>
    </row>
    <row r="41" spans="2:4">
      <c r="B41" s="58"/>
      <c r="C41" s="59"/>
      <c r="D41" s="60"/>
    </row>
    <row r="42" spans="2:4">
      <c r="B42" s="58"/>
      <c r="C42" s="59"/>
      <c r="D42" s="60"/>
    </row>
    <row r="43" spans="2:4">
      <c r="B43" s="58"/>
      <c r="C43" s="59"/>
      <c r="D43" s="60"/>
    </row>
    <row r="44" spans="2:4">
      <c r="B44" s="58"/>
      <c r="C44" s="59"/>
      <c r="D44" s="60"/>
    </row>
    <row r="45" spans="2:4">
      <c r="B45" s="58"/>
      <c r="C45" s="59"/>
      <c r="D45" s="60"/>
    </row>
    <row r="46" spans="2:4">
      <c r="B46" s="58"/>
      <c r="C46" s="59"/>
      <c r="D46" s="60"/>
    </row>
    <row r="47" spans="2:4">
      <c r="B47" s="58"/>
      <c r="C47" s="59"/>
      <c r="D47" s="60"/>
    </row>
    <row r="48" spans="2:4">
      <c r="B48" s="58"/>
      <c r="C48" s="59"/>
      <c r="D48" s="60"/>
    </row>
    <row r="49" spans="2:4">
      <c r="B49" s="58"/>
      <c r="C49" s="59"/>
      <c r="D49" s="60"/>
    </row>
    <row r="50" spans="2:4">
      <c r="B50" s="58"/>
      <c r="C50" s="59"/>
      <c r="D50" s="60"/>
    </row>
    <row r="51" spans="2:4">
      <c r="B51" s="58"/>
      <c r="C51" s="59"/>
      <c r="D51" s="60"/>
    </row>
    <row r="52" spans="2:4">
      <c r="B52" s="58"/>
      <c r="C52" s="59"/>
      <c r="D52" s="60"/>
    </row>
    <row r="53" spans="2:4">
      <c r="B53" s="58"/>
      <c r="C53" s="59"/>
      <c r="D53" s="60"/>
    </row>
    <row r="54" spans="2:4">
      <c r="B54" s="58"/>
      <c r="C54" s="59"/>
      <c r="D54" s="60"/>
    </row>
    <row r="55" spans="2:4">
      <c r="B55" s="58"/>
      <c r="C55" s="59"/>
      <c r="D55" s="60"/>
    </row>
    <row r="56" spans="2:4">
      <c r="B56" s="58"/>
      <c r="C56" s="59"/>
      <c r="D56" s="60"/>
    </row>
    <row r="57" spans="2:4">
      <c r="B57" s="58"/>
      <c r="C57" s="59"/>
      <c r="D57" s="60"/>
    </row>
    <row r="58" spans="2:4">
      <c r="B58" s="58"/>
      <c r="C58" s="59"/>
      <c r="D58" s="60"/>
    </row>
    <row r="59" spans="2:4">
      <c r="B59" s="58"/>
      <c r="C59" s="59"/>
      <c r="D59" s="60"/>
    </row>
    <row r="60" spans="2:4">
      <c r="B60" s="58"/>
      <c r="C60" s="59"/>
      <c r="D60" s="60"/>
    </row>
  </sheetData>
  <dataValidations count="2">
    <dataValidation type="list" errorStyle="information" allowBlank="1" showInputMessage="1" showErrorMessage="1" error="Pick a type, or type your own." sqref="D6:D60">
      <formula1>"Holiday,Observance,Personal,Work,School"</formula1>
    </dataValidation>
    <dataValidation type="date" operator="greaterThan" errorStyle="warning" allowBlank="1" showInputMessage="1" showErrorMessage="1" error="Enter a date, e.g. 2027-03-14" sqref="C6:C60">
      <formula1>1</formula1>
    </dataValidation>
  </dataValidations>
  <printOptions horizontalCentered="1"/>
  <pageMargins left="0.4" right="0.4" top="0.4" bottom="0.4" header="0.3" footer="0.3"/>
  <pageSetup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16</vt:i4>
      </vt:variant>
    </vt:vector>
  </HeadingPairs>
  <TitlesOfParts>
    <vt:vector size="30" baseType="lpstr">
      <vt:lpstr>Year</vt:lpstr>
      <vt:lpstr>Jan</vt:lpstr>
      <vt:lpstr>Feb</vt:lpstr>
      <vt:lpstr>Mar</vt:lpstr>
      <vt:lpstr>Apr</vt:lpstr>
      <vt:lpstr>May</vt:lpstr>
      <vt:lpstr>Jun</vt:lpstr>
      <vt:lpstr>Jul</vt:lpstr>
      <vt:lpstr>Aug</vt:lpstr>
      <vt:lpstr>Sep</vt:lpstr>
      <vt:lpstr>Oct</vt:lpstr>
      <vt:lpstr>Nov</vt:lpstr>
      <vt:lpstr>Dec</vt:lpstr>
      <vt:lpstr>Holidays</vt:lpstr>
      <vt:lpstr>CalYear</vt:lpstr>
      <vt:lpstr>Apr!Print_Area</vt:lpstr>
      <vt:lpstr>Aug!Print_Area</vt:lpstr>
      <vt:lpstr>Dec!Print_Area</vt:lpstr>
      <vt:lpstr>Feb!Print_Area</vt:lpstr>
      <vt:lpstr>Holidays!Print_Area</vt:lpstr>
      <vt:lpstr>Jan!Print_Area</vt:lpstr>
      <vt:lpstr>Jul!Print_Area</vt:lpstr>
      <vt:lpstr>Jun!Print_Area</vt:lpstr>
      <vt:lpstr>Mar!Print_Area</vt:lpstr>
      <vt:lpstr>May!Print_Area</vt:lpstr>
      <vt:lpstr>Nov!Print_Area</vt:lpstr>
      <vt:lpstr>Oct!Print_Area</vt:lpstr>
      <vt:lpstr>Sep!Print_Area</vt:lpstr>
      <vt:lpstr>Year!Print_Area</vt:lpstr>
      <vt:lpstr>WeekStart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Monthly Calendar</dc:title>
  <dc:creator>niftyshelf.com</dc:creator>
  <dc:description>Free editable calendar template from niftyshelf.com</dc:description>
  <cp:lastModifiedBy>niftyshelf.com</cp:lastModifiedBy>
  <dcterms:created xsi:type="dcterms:W3CDTF">2026-10-21T22:52:34Z</dcterms:created>
  <dcterms:modified xsi:type="dcterms:W3CDTF">2026-10-21T22:52:34Z</dcterms:modified>
</cp:coreProperties>
</file>